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Robin\Documents\2015\EGSoftware\PrescriptiveCode Compliance submittal\"/>
    </mc:Choice>
  </mc:AlternateContent>
  <bookViews>
    <workbookView xWindow="0" yWindow="0" windowWidth="16800" windowHeight="7050" tabRatio="755" activeTab="1"/>
  </bookViews>
  <sheets>
    <sheet name="Instructions" sheetId="9" r:id="rId1"/>
    <sheet name="V_T01" sheetId="23" r:id="rId2"/>
    <sheet name="UA_T01" sheetId="22" r:id="rId3"/>
    <sheet name="V_T02" sheetId="26" r:id="rId4"/>
    <sheet name="UA_T02" sheetId="25" r:id="rId5"/>
    <sheet name="V_T03" sheetId="30" r:id="rId6"/>
    <sheet name="UA_T03" sheetId="29" r:id="rId7"/>
    <sheet name="V_M01" sheetId="13" r:id="rId8"/>
    <sheet name="UA_M01" sheetId="12" r:id="rId9"/>
    <sheet name="V_M02" sheetId="16" r:id="rId10"/>
    <sheet name="UA_M02" sheetId="15" r:id="rId11"/>
    <sheet name="V_M03" sheetId="7" r:id="rId12"/>
    <sheet name="UA_M03" sheetId="8" r:id="rId13"/>
    <sheet name="D_T01" sheetId="21" r:id="rId14"/>
    <sheet name="D_T02" sheetId="24" r:id="rId15"/>
    <sheet name="D_T03" sheetId="27" r:id="rId16"/>
    <sheet name="D_M01" sheetId="11" r:id="rId17"/>
    <sheet name="D_M02" sheetId="14" r:id="rId18"/>
    <sheet name="D_M03" sheetId="10" r:id="rId19"/>
    <sheet name="Selections" sheetId="2" r:id="rId20"/>
    <sheet name="Sheet1" sheetId="31" r:id="rId21"/>
    <sheet name="Sheet3" sheetId="33" r:id="rId22"/>
  </sheets>
  <definedNames>
    <definedName name="AirHandler">Selections!$O$5:$O$8</definedName>
    <definedName name="Ceiling">Selections!$D$5:$D$7</definedName>
    <definedName name="Complies">Selections!$C$12:$C$13</definedName>
    <definedName name="Cooling">Selections!$K$5:$K$7</definedName>
    <definedName name="Door">Selections!$H$5:$H$7</definedName>
    <definedName name="DuctTightness">Selections!$N$5:$N$7</definedName>
    <definedName name="Floor">Selections!$B$5:$B$7</definedName>
    <definedName name="Heating">Selections!$J$5:$J$8</definedName>
    <definedName name="HotWaterCirculation">Selections!$S$5:$S$7</definedName>
    <definedName name="HotWaterLines">Selections!$R$5:$R$7</definedName>
    <definedName name="HotWaterSystem">Selections!$Q$5:$Q$7</definedName>
    <definedName name="Infiltration">Selections!$I$5:$I$7</definedName>
    <definedName name="Lighting">Selections!$T$5:$T$7</definedName>
    <definedName name="MechanicalVent">Selections!$P$5:$P$8</definedName>
    <definedName name="OverallFenSHGC">Selections!$W$5:$W$6</definedName>
    <definedName name="OverallFenU">Selections!$V$5:$V$6</definedName>
    <definedName name="PoolandSpa">Selections!$U$5:$U$8</definedName>
    <definedName name="_xlnm.Print_Area" localSheetId="10">UA_M02!$A$1:$T$162</definedName>
    <definedName name="_xlnm.Print_Area" localSheetId="7">V_M01!$A$1:$F$143</definedName>
    <definedName name="_xlnm.Print_Area" localSheetId="9">V_M02!$A$1:$F$143</definedName>
    <definedName name="_xlnm.Print_Area" localSheetId="11">V_M03!$A$1:$F$94</definedName>
    <definedName name="_xlnm.Print_Area" localSheetId="1">V_T01!$A$1:$F$143</definedName>
    <definedName name="_xlnm.Print_Area" localSheetId="3">V_T02!$A$1:$F$143</definedName>
    <definedName name="_xlnm.Print_Area" localSheetId="5">V_T03!$A$1:$F$143</definedName>
    <definedName name="ReturnDucts">Selections!$M$5:$M$7</definedName>
    <definedName name="Roof">Selections!$C$5:$C$8</definedName>
    <definedName name="Skylight">Selections!$E$5:$E$7</definedName>
    <definedName name="SupplyDucts">Selections!$L$5:$L$7</definedName>
    <definedName name="TotalUA">Selections!$X$5:$X$7</definedName>
    <definedName name="UCalcMethod">Selections!$B$12:$B$15</definedName>
    <definedName name="Wall">Selections!$F$5:$F$7</definedName>
    <definedName name="Window">Selections!$G$5:$G$8</definedName>
  </definedNames>
  <calcPr calcId="152511"/>
</workbook>
</file>

<file path=xl/calcChain.xml><?xml version="1.0" encoding="utf-8"?>
<calcChain xmlns="http://schemas.openxmlformats.org/spreadsheetml/2006/main">
  <c r="D42" i="16" l="1"/>
  <c r="D24" i="16"/>
  <c r="D20" i="16"/>
  <c r="D18" i="16"/>
  <c r="D15" i="16"/>
  <c r="H30" i="22" l="1"/>
  <c r="J34" i="22"/>
  <c r="H34" i="22"/>
  <c r="J33" i="22"/>
  <c r="H33" i="22"/>
  <c r="J32" i="22"/>
  <c r="H32" i="22"/>
  <c r="J31" i="22"/>
  <c r="H31" i="22"/>
  <c r="J30" i="22"/>
  <c r="E72" i="12"/>
  <c r="E73" i="12" s="1"/>
  <c r="C110" i="14" l="1"/>
  <c r="E98" i="15"/>
  <c r="E54" i="22" l="1"/>
  <c r="D47" i="8"/>
  <c r="E47" i="8"/>
  <c r="D48" i="8"/>
  <c r="E48" i="8"/>
  <c r="E46" i="8"/>
  <c r="D46" i="8"/>
  <c r="C46" i="8"/>
  <c r="C47" i="8"/>
  <c r="C48" i="8"/>
  <c r="D62" i="15"/>
  <c r="E62" i="15"/>
  <c r="D63" i="15"/>
  <c r="E63" i="15"/>
  <c r="E61" i="15"/>
  <c r="D61" i="15"/>
  <c r="C61" i="15"/>
  <c r="C62" i="15"/>
  <c r="C63" i="15"/>
  <c r="F61" i="12"/>
  <c r="J55" i="12"/>
  <c r="E47" i="12"/>
  <c r="E48" i="12"/>
  <c r="E46" i="12"/>
  <c r="D47" i="12"/>
  <c r="D48" i="12"/>
  <c r="D46" i="12"/>
  <c r="C46" i="12"/>
  <c r="C47" i="12"/>
  <c r="C48" i="12"/>
  <c r="C46" i="22"/>
  <c r="C47" i="22"/>
  <c r="C48" i="22"/>
  <c r="C48" i="25"/>
  <c r="C49" i="25"/>
  <c r="C50" i="25"/>
  <c r="C46" i="29"/>
  <c r="C47" i="29"/>
  <c r="C48" i="29"/>
  <c r="D47" i="29"/>
  <c r="E47" i="29"/>
  <c r="D48" i="29"/>
  <c r="E48" i="29"/>
  <c r="E46" i="29"/>
  <c r="D46" i="29"/>
  <c r="E49" i="25"/>
  <c r="E50" i="25"/>
  <c r="E48" i="25"/>
  <c r="D49" i="25"/>
  <c r="D50" i="25"/>
  <c r="D48" i="25"/>
  <c r="C51" i="25"/>
  <c r="D51" i="25"/>
  <c r="E51" i="25"/>
  <c r="E46" i="22"/>
  <c r="E47" i="22"/>
  <c r="E48" i="22"/>
  <c r="D46" i="22"/>
  <c r="D47" i="22"/>
  <c r="D48" i="22"/>
  <c r="D54" i="22"/>
  <c r="D45" i="22"/>
  <c r="J56" i="12" l="1"/>
  <c r="J33" i="8"/>
  <c r="J33" i="12"/>
  <c r="H33" i="25"/>
  <c r="H33" i="8"/>
  <c r="H33" i="29"/>
  <c r="H33" i="12"/>
  <c r="D29" i="30" l="1"/>
  <c r="D31" i="16" l="1"/>
  <c r="D13" i="26" l="1"/>
  <c r="D46" i="7"/>
  <c r="F123" i="23" l="1"/>
  <c r="F76" i="23"/>
  <c r="D22" i="31"/>
  <c r="E22" i="31"/>
  <c r="K20" i="33"/>
  <c r="J20" i="33" s="1"/>
  <c r="H20" i="33"/>
  <c r="D46" i="23"/>
  <c r="D29" i="23"/>
  <c r="F134" i="7" l="1"/>
  <c r="F123" i="16"/>
  <c r="F139" i="16"/>
  <c r="F89" i="16"/>
  <c r="F76" i="16"/>
  <c r="F71" i="16"/>
  <c r="F67" i="16"/>
  <c r="F65" i="16"/>
  <c r="F62" i="16"/>
  <c r="D29" i="16"/>
  <c r="F140" i="13"/>
  <c r="F89" i="13"/>
  <c r="D46" i="13"/>
  <c r="D29" i="13"/>
  <c r="F76" i="13"/>
  <c r="F123" i="13"/>
  <c r="F137" i="30"/>
  <c r="F123" i="30"/>
  <c r="F90" i="30"/>
  <c r="F76" i="30"/>
  <c r="F60" i="30"/>
  <c r="D13" i="30"/>
  <c r="F123" i="26"/>
  <c r="F76" i="26"/>
  <c r="D46" i="26"/>
  <c r="D29" i="26"/>
  <c r="F140" i="23"/>
  <c r="F90" i="26"/>
  <c r="F89" i="26"/>
  <c r="F137" i="26" l="1"/>
  <c r="F89" i="23"/>
  <c r="F108" i="30" l="1"/>
  <c r="F108" i="26"/>
  <c r="F108" i="23"/>
  <c r="F108" i="13" l="1"/>
  <c r="F108" i="16"/>
  <c r="F59" i="7"/>
  <c r="D45" i="7"/>
  <c r="D44" i="7"/>
  <c r="D45" i="16"/>
  <c r="D44" i="16"/>
  <c r="D45" i="13"/>
  <c r="D44" i="13"/>
  <c r="D45" i="26"/>
  <c r="D44" i="26"/>
  <c r="D45" i="23"/>
  <c r="D44" i="23"/>
  <c r="D45" i="30"/>
  <c r="D44" i="30"/>
  <c r="D41" i="30"/>
  <c r="D41" i="26"/>
  <c r="D41" i="23"/>
  <c r="D41" i="7"/>
  <c r="D41" i="16"/>
  <c r="D41" i="13"/>
  <c r="C108" i="21" l="1"/>
  <c r="E68" i="29" l="1"/>
  <c r="D68" i="29"/>
  <c r="C68" i="29"/>
  <c r="E69" i="29"/>
  <c r="E70" i="29"/>
  <c r="E72" i="29"/>
  <c r="E73" i="29"/>
  <c r="D69" i="29"/>
  <c r="D72" i="29"/>
  <c r="D73" i="29"/>
  <c r="C66" i="29"/>
  <c r="C69" i="29"/>
  <c r="C70" i="29"/>
  <c r="C72" i="29"/>
  <c r="C73" i="29"/>
  <c r="C71" i="27" l="1"/>
  <c r="C75" i="27"/>
  <c r="D71" i="29" s="1"/>
  <c r="B71" i="27" l="1"/>
  <c r="C67" i="29" s="1"/>
  <c r="D67" i="29"/>
  <c r="E67" i="29"/>
  <c r="B140" i="30"/>
  <c r="B139" i="30"/>
  <c r="B138" i="30"/>
  <c r="B137" i="30"/>
  <c r="B136" i="30"/>
  <c r="B135" i="30"/>
  <c r="B134" i="30"/>
  <c r="B133" i="30"/>
  <c r="B132" i="30"/>
  <c r="B131" i="30"/>
  <c r="B130" i="30"/>
  <c r="B129" i="30"/>
  <c r="B128" i="30"/>
  <c r="B127" i="30"/>
  <c r="B126" i="30"/>
  <c r="B125" i="30"/>
  <c r="B124" i="30"/>
  <c r="B123" i="30"/>
  <c r="B122" i="30"/>
  <c r="B121" i="30"/>
  <c r="B120" i="30"/>
  <c r="B119" i="30"/>
  <c r="B118" i="30"/>
  <c r="B117" i="30"/>
  <c r="B116" i="30"/>
  <c r="D115" i="30"/>
  <c r="B115" i="30"/>
  <c r="B114" i="30"/>
  <c r="B113" i="30"/>
  <c r="B112" i="30"/>
  <c r="D111" i="30"/>
  <c r="B111" i="30"/>
  <c r="D110" i="30"/>
  <c r="B110" i="30"/>
  <c r="B109" i="30"/>
  <c r="D108" i="30"/>
  <c r="B108" i="30"/>
  <c r="B107" i="30"/>
  <c r="B106" i="30"/>
  <c r="B105" i="30"/>
  <c r="B103" i="30"/>
  <c r="B93" i="30"/>
  <c r="B92" i="30"/>
  <c r="B91" i="30"/>
  <c r="B90" i="30"/>
  <c r="B89" i="30"/>
  <c r="B88" i="30"/>
  <c r="B87" i="30"/>
  <c r="B86" i="30"/>
  <c r="B85" i="30"/>
  <c r="B84" i="30"/>
  <c r="B83" i="30"/>
  <c r="B82" i="30"/>
  <c r="B81" i="30"/>
  <c r="B80" i="30"/>
  <c r="B79" i="30"/>
  <c r="B78" i="30"/>
  <c r="B77" i="30"/>
  <c r="B76" i="30"/>
  <c r="B75" i="30"/>
  <c r="B74" i="30"/>
  <c r="B73" i="30"/>
  <c r="B72" i="30"/>
  <c r="B71" i="30"/>
  <c r="B70" i="30"/>
  <c r="B69" i="30"/>
  <c r="D68" i="30"/>
  <c r="B68" i="30"/>
  <c r="B67" i="30"/>
  <c r="B66" i="30"/>
  <c r="B65" i="30"/>
  <c r="D64" i="30"/>
  <c r="B64" i="30"/>
  <c r="D63" i="30"/>
  <c r="B63" i="30"/>
  <c r="B62" i="30"/>
  <c r="D61" i="30"/>
  <c r="B61" i="30"/>
  <c r="B60" i="30"/>
  <c r="B59" i="30"/>
  <c r="B58" i="30"/>
  <c r="B56" i="30"/>
  <c r="B46" i="30"/>
  <c r="B45" i="30"/>
  <c r="B44" i="30"/>
  <c r="B43" i="30"/>
  <c r="B42" i="30"/>
  <c r="B41" i="30"/>
  <c r="B40" i="30"/>
  <c r="B39" i="30"/>
  <c r="B38" i="30"/>
  <c r="B37" i="30"/>
  <c r="B36" i="30"/>
  <c r="B35" i="30"/>
  <c r="B34" i="30"/>
  <c r="B33" i="30"/>
  <c r="B32" i="30"/>
  <c r="B31" i="30"/>
  <c r="B30" i="30"/>
  <c r="B29" i="30"/>
  <c r="B28" i="30"/>
  <c r="B27" i="30"/>
  <c r="B26" i="30"/>
  <c r="B25" i="30"/>
  <c r="B24" i="30"/>
  <c r="B23" i="30"/>
  <c r="B22" i="30"/>
  <c r="B21" i="30"/>
  <c r="B20" i="30"/>
  <c r="B19" i="30"/>
  <c r="B18" i="30"/>
  <c r="B17" i="30"/>
  <c r="B16" i="30"/>
  <c r="B15" i="30"/>
  <c r="B14" i="30"/>
  <c r="B13" i="30"/>
  <c r="B12" i="30"/>
  <c r="B11" i="30"/>
  <c r="B9" i="30"/>
  <c r="B5" i="30"/>
  <c r="B4" i="30"/>
  <c r="F140" i="30"/>
  <c r="H140" i="30" s="1"/>
  <c r="F139" i="30"/>
  <c r="H139" i="30" s="1"/>
  <c r="H137" i="30"/>
  <c r="H136" i="30"/>
  <c r="H133" i="30"/>
  <c r="F132" i="30"/>
  <c r="H132" i="30" s="1"/>
  <c r="F131" i="30"/>
  <c r="H131" i="30" s="1"/>
  <c r="F130" i="30"/>
  <c r="H130" i="30" s="1"/>
  <c r="F129" i="30"/>
  <c r="H129" i="30" s="1"/>
  <c r="F128" i="30"/>
  <c r="H128" i="30" s="1"/>
  <c r="F127" i="30"/>
  <c r="H127" i="30" s="1"/>
  <c r="F126" i="30"/>
  <c r="H126" i="30" s="1"/>
  <c r="F125" i="30"/>
  <c r="H125" i="30" s="1"/>
  <c r="F124" i="30"/>
  <c r="H124" i="30" s="1"/>
  <c r="H123" i="30"/>
  <c r="F122" i="30"/>
  <c r="H122" i="30" s="1"/>
  <c r="F121" i="30"/>
  <c r="H121" i="30" s="1"/>
  <c r="F120" i="30"/>
  <c r="H120" i="30" s="1"/>
  <c r="H119" i="30"/>
  <c r="H118" i="30"/>
  <c r="H117" i="30"/>
  <c r="H116" i="30"/>
  <c r="H115" i="30"/>
  <c r="H114" i="30"/>
  <c r="H113" i="30"/>
  <c r="H112" i="30"/>
  <c r="H111" i="30"/>
  <c r="H110" i="30"/>
  <c r="H109" i="30"/>
  <c r="H108" i="30"/>
  <c r="H107" i="30"/>
  <c r="H106" i="30"/>
  <c r="H105" i="30"/>
  <c r="D99" i="30"/>
  <c r="F93" i="30"/>
  <c r="H93" i="30" s="1"/>
  <c r="H92" i="30"/>
  <c r="H91" i="30"/>
  <c r="H90" i="30"/>
  <c r="F89" i="30"/>
  <c r="H89" i="30" s="1"/>
  <c r="H88" i="30"/>
  <c r="F85" i="30"/>
  <c r="H85" i="30" s="1"/>
  <c r="F84" i="30"/>
  <c r="H84" i="30" s="1"/>
  <c r="F83" i="30"/>
  <c r="H83" i="30" s="1"/>
  <c r="F82" i="30"/>
  <c r="H82" i="30" s="1"/>
  <c r="F81" i="30"/>
  <c r="H81" i="30" s="1"/>
  <c r="F80" i="30"/>
  <c r="H80" i="30" s="1"/>
  <c r="F79" i="30"/>
  <c r="H79" i="30" s="1"/>
  <c r="F78" i="30"/>
  <c r="H78" i="30" s="1"/>
  <c r="F77" i="30"/>
  <c r="H77" i="30" s="1"/>
  <c r="H76" i="30"/>
  <c r="F75" i="30"/>
  <c r="H75" i="30" s="1"/>
  <c r="F74" i="30"/>
  <c r="H74" i="30" s="1"/>
  <c r="F73" i="30"/>
  <c r="H73" i="30" s="1"/>
  <c r="H72" i="30"/>
  <c r="F71" i="30"/>
  <c r="H71" i="30" s="1"/>
  <c r="H70" i="30"/>
  <c r="F69" i="30"/>
  <c r="H69" i="30" s="1"/>
  <c r="H68" i="30"/>
  <c r="F67" i="30"/>
  <c r="H67" i="30" s="1"/>
  <c r="H66" i="30"/>
  <c r="H65" i="30"/>
  <c r="F65" i="30"/>
  <c r="H64" i="30"/>
  <c r="H63" i="30"/>
  <c r="F62" i="30"/>
  <c r="H62" i="30" s="1"/>
  <c r="F61" i="30"/>
  <c r="H61" i="30" s="1"/>
  <c r="H60" i="30"/>
  <c r="F59" i="30"/>
  <c r="H59" i="30" s="1"/>
  <c r="F58" i="30"/>
  <c r="H58" i="30" s="1"/>
  <c r="D52" i="30"/>
  <c r="D46" i="30"/>
  <c r="H46" i="30" s="1"/>
  <c r="H45" i="30"/>
  <c r="H44" i="30"/>
  <c r="D43" i="30"/>
  <c r="H43" i="30" s="1"/>
  <c r="D42" i="30"/>
  <c r="H42" i="30" s="1"/>
  <c r="H41" i="30"/>
  <c r="D38" i="30"/>
  <c r="H38" i="30" s="1"/>
  <c r="D37" i="30"/>
  <c r="H37" i="30" s="1"/>
  <c r="D36" i="30"/>
  <c r="H36" i="30" s="1"/>
  <c r="D35" i="30"/>
  <c r="H35" i="30" s="1"/>
  <c r="D34" i="30"/>
  <c r="H34" i="30" s="1"/>
  <c r="D33" i="30"/>
  <c r="H33" i="30" s="1"/>
  <c r="D32" i="30"/>
  <c r="H32" i="30" s="1"/>
  <c r="D31" i="30"/>
  <c r="H31" i="30" s="1"/>
  <c r="D30" i="30"/>
  <c r="H30" i="30" s="1"/>
  <c r="H29" i="30"/>
  <c r="D28" i="30"/>
  <c r="H28" i="30" s="1"/>
  <c r="D27" i="30"/>
  <c r="H27" i="30" s="1"/>
  <c r="D26" i="30"/>
  <c r="H26" i="30" s="1"/>
  <c r="H25" i="30"/>
  <c r="D24" i="30"/>
  <c r="H24" i="30" s="1"/>
  <c r="H23" i="30"/>
  <c r="D22" i="30"/>
  <c r="H22" i="30" s="1"/>
  <c r="H21" i="30"/>
  <c r="D20" i="30"/>
  <c r="H20" i="30" s="1"/>
  <c r="H19" i="30"/>
  <c r="D18" i="30"/>
  <c r="H18" i="30" s="1"/>
  <c r="H17" i="30"/>
  <c r="H16" i="30"/>
  <c r="D15" i="30"/>
  <c r="H15" i="30" s="1"/>
  <c r="D14" i="30"/>
  <c r="H14" i="30" s="1"/>
  <c r="H13" i="30"/>
  <c r="D12" i="30"/>
  <c r="H12" i="30" s="1"/>
  <c r="D11" i="30"/>
  <c r="H11" i="30" s="1"/>
  <c r="D3" i="30"/>
  <c r="I21" i="29"/>
  <c r="I12" i="29"/>
  <c r="I17" i="29"/>
  <c r="I15" i="29"/>
  <c r="E65" i="29"/>
  <c r="D65" i="29"/>
  <c r="C65" i="29"/>
  <c r="E54" i="29"/>
  <c r="D54" i="29"/>
  <c r="C54" i="29"/>
  <c r="E53" i="29"/>
  <c r="D53" i="29"/>
  <c r="C53" i="29"/>
  <c r="E51" i="29"/>
  <c r="C51" i="29"/>
  <c r="E49" i="29"/>
  <c r="D49" i="29"/>
  <c r="C49" i="29"/>
  <c r="E45" i="29"/>
  <c r="D45" i="29"/>
  <c r="E22" i="29"/>
  <c r="L22" i="29" s="1"/>
  <c r="C22" i="29"/>
  <c r="C21" i="29"/>
  <c r="E20" i="29"/>
  <c r="K20" i="29" s="1"/>
  <c r="C20" i="29"/>
  <c r="C19" i="29"/>
  <c r="E18" i="29"/>
  <c r="F18" i="29" s="1"/>
  <c r="C18" i="29"/>
  <c r="C17" i="29"/>
  <c r="E16" i="29"/>
  <c r="K16" i="29" s="1"/>
  <c r="C16" i="29"/>
  <c r="C15" i="29"/>
  <c r="Q14" i="29"/>
  <c r="S14" i="29" s="1"/>
  <c r="G14" i="29"/>
  <c r="E14" i="29"/>
  <c r="F14" i="29" s="1"/>
  <c r="C14" i="29"/>
  <c r="Q13" i="29"/>
  <c r="S13" i="29" s="1"/>
  <c r="G13" i="29"/>
  <c r="O13" i="29" s="1"/>
  <c r="E13" i="29"/>
  <c r="F13" i="29" s="1"/>
  <c r="C13" i="29"/>
  <c r="C12" i="29"/>
  <c r="Q11" i="29"/>
  <c r="S11" i="29" s="1"/>
  <c r="G11" i="29"/>
  <c r="M11" i="29" s="1"/>
  <c r="E11" i="29"/>
  <c r="K11" i="29" s="1"/>
  <c r="C11" i="29"/>
  <c r="E10" i="29"/>
  <c r="C10" i="29"/>
  <c r="C9" i="29"/>
  <c r="C8" i="29"/>
  <c r="B3" i="29"/>
  <c r="D28" i="29"/>
  <c r="C28" i="29"/>
  <c r="D27" i="29"/>
  <c r="C27" i="29"/>
  <c r="D26" i="29"/>
  <c r="C26" i="29"/>
  <c r="I22" i="29"/>
  <c r="I20" i="29"/>
  <c r="I19" i="29"/>
  <c r="I18" i="29"/>
  <c r="I16" i="29"/>
  <c r="I14" i="29"/>
  <c r="I13" i="29"/>
  <c r="I11" i="29"/>
  <c r="I10" i="29"/>
  <c r="T7" i="29"/>
  <c r="S7" i="29"/>
  <c r="R7" i="29"/>
  <c r="Q7" i="29"/>
  <c r="P7" i="29"/>
  <c r="O7" i="29"/>
  <c r="N7" i="29"/>
  <c r="M7" i="29"/>
  <c r="L7" i="29"/>
  <c r="K7" i="29"/>
  <c r="J7" i="29"/>
  <c r="I7" i="29"/>
  <c r="H7" i="29"/>
  <c r="G7" i="29"/>
  <c r="F7" i="29"/>
  <c r="E7" i="29"/>
  <c r="D7" i="29"/>
  <c r="C7" i="29"/>
  <c r="S6" i="29"/>
  <c r="Q6" i="29"/>
  <c r="O6" i="29"/>
  <c r="M6" i="29"/>
  <c r="K6" i="29"/>
  <c r="I6" i="29"/>
  <c r="G6" i="29"/>
  <c r="D6" i="29"/>
  <c r="S5" i="29"/>
  <c r="Q5" i="29"/>
  <c r="O5" i="29"/>
  <c r="M5" i="29"/>
  <c r="K5" i="29"/>
  <c r="F19" i="27"/>
  <c r="E19" i="27"/>
  <c r="B75" i="27" s="1"/>
  <c r="C71" i="29" s="1"/>
  <c r="F21" i="27"/>
  <c r="F17" i="27"/>
  <c r="F15" i="27"/>
  <c r="C70" i="27"/>
  <c r="C65" i="27"/>
  <c r="D64" i="29" s="1"/>
  <c r="C57" i="27"/>
  <c r="B57" i="27" s="1"/>
  <c r="C50" i="29" s="1"/>
  <c r="E34" i="27"/>
  <c r="F22" i="27"/>
  <c r="Q22" i="29" s="1"/>
  <c r="S22" i="29" s="1"/>
  <c r="E22" i="27"/>
  <c r="G22" i="29" s="1"/>
  <c r="M22" i="29" s="1"/>
  <c r="G21" i="27"/>
  <c r="E21" i="29" s="1"/>
  <c r="E21" i="27"/>
  <c r="F20" i="27"/>
  <c r="Q20" i="29" s="1"/>
  <c r="S20" i="29" s="1"/>
  <c r="E20" i="27"/>
  <c r="G20" i="29" s="1"/>
  <c r="M20" i="29" s="1"/>
  <c r="G19" i="27"/>
  <c r="E19" i="29" s="1"/>
  <c r="Q18" i="29"/>
  <c r="S18" i="29" s="1"/>
  <c r="G18" i="29"/>
  <c r="G17" i="27"/>
  <c r="E17" i="29" s="1"/>
  <c r="E17" i="27"/>
  <c r="F16" i="27"/>
  <c r="Q16" i="29" s="1"/>
  <c r="S16" i="29" s="1"/>
  <c r="E16" i="27"/>
  <c r="G16" i="29" s="1"/>
  <c r="M16" i="29" s="1"/>
  <c r="G15" i="27"/>
  <c r="E15" i="29" s="1"/>
  <c r="E15" i="27"/>
  <c r="G12" i="27"/>
  <c r="E12" i="29" s="1"/>
  <c r="B140" i="26"/>
  <c r="B139" i="26"/>
  <c r="B138" i="26"/>
  <c r="B137" i="26"/>
  <c r="B136" i="26"/>
  <c r="B135" i="26"/>
  <c r="B134" i="26"/>
  <c r="B133" i="26"/>
  <c r="B132" i="26"/>
  <c r="B131" i="26"/>
  <c r="B130" i="26"/>
  <c r="B129" i="26"/>
  <c r="B128" i="26"/>
  <c r="B127" i="26"/>
  <c r="B126" i="26"/>
  <c r="B125" i="26"/>
  <c r="B124" i="26"/>
  <c r="B123" i="26"/>
  <c r="B122" i="26"/>
  <c r="B121" i="26"/>
  <c r="B120" i="26"/>
  <c r="B119" i="26"/>
  <c r="B118" i="26"/>
  <c r="B117" i="26"/>
  <c r="B116" i="26"/>
  <c r="D115" i="26"/>
  <c r="B115" i="26"/>
  <c r="B114" i="26"/>
  <c r="D113" i="26"/>
  <c r="B113" i="26"/>
  <c r="B112" i="26"/>
  <c r="D111" i="26"/>
  <c r="B111" i="26"/>
  <c r="D110" i="26"/>
  <c r="B110" i="26"/>
  <c r="B109" i="26"/>
  <c r="D108" i="26"/>
  <c r="B108" i="26"/>
  <c r="B107" i="26"/>
  <c r="B106" i="26"/>
  <c r="B105" i="26"/>
  <c r="B103" i="26"/>
  <c r="B93" i="26"/>
  <c r="B92" i="26"/>
  <c r="B91" i="26"/>
  <c r="B90" i="26"/>
  <c r="B89" i="26"/>
  <c r="B88" i="26"/>
  <c r="B87" i="26"/>
  <c r="B86" i="26"/>
  <c r="B85" i="26"/>
  <c r="B84" i="26"/>
  <c r="B83" i="26"/>
  <c r="B82" i="26"/>
  <c r="B81" i="26"/>
  <c r="B80" i="26"/>
  <c r="B79" i="26"/>
  <c r="B78" i="26"/>
  <c r="B77" i="26"/>
  <c r="B76" i="26"/>
  <c r="B75" i="26"/>
  <c r="B74" i="26"/>
  <c r="B73" i="26"/>
  <c r="B72" i="26"/>
  <c r="B71" i="26"/>
  <c r="B70" i="26"/>
  <c r="B69" i="26"/>
  <c r="D68" i="26"/>
  <c r="B68" i="26"/>
  <c r="B67" i="26"/>
  <c r="D66" i="26"/>
  <c r="B66" i="26"/>
  <c r="B65" i="26"/>
  <c r="D64" i="26"/>
  <c r="B64" i="26"/>
  <c r="D63" i="26"/>
  <c r="B63" i="26"/>
  <c r="B62" i="26"/>
  <c r="D61" i="26"/>
  <c r="B61" i="26"/>
  <c r="B60" i="26"/>
  <c r="B59" i="26"/>
  <c r="B58" i="26"/>
  <c r="B56" i="26"/>
  <c r="B46" i="26"/>
  <c r="B45" i="26"/>
  <c r="B44" i="26"/>
  <c r="B43" i="26"/>
  <c r="B42" i="26"/>
  <c r="B41" i="26"/>
  <c r="B40" i="26"/>
  <c r="B39" i="26"/>
  <c r="B38" i="26"/>
  <c r="B37" i="26"/>
  <c r="B36" i="26"/>
  <c r="B35" i="26"/>
  <c r="B34" i="26"/>
  <c r="B33" i="26"/>
  <c r="B32" i="26"/>
  <c r="B31" i="26"/>
  <c r="B30" i="26"/>
  <c r="B29" i="26"/>
  <c r="B28" i="26"/>
  <c r="B27" i="26"/>
  <c r="B26" i="26"/>
  <c r="B25" i="26"/>
  <c r="B24" i="26"/>
  <c r="B23" i="26"/>
  <c r="B22" i="26"/>
  <c r="B21" i="26"/>
  <c r="B20" i="26"/>
  <c r="B19" i="26"/>
  <c r="B18" i="26"/>
  <c r="B17" i="26"/>
  <c r="B16" i="26"/>
  <c r="B15" i="26"/>
  <c r="B14" i="26"/>
  <c r="B13" i="26"/>
  <c r="B12" i="26"/>
  <c r="B11" i="26"/>
  <c r="B9" i="26"/>
  <c r="B5" i="26"/>
  <c r="B4" i="26"/>
  <c r="F140" i="26"/>
  <c r="H140" i="26" s="1"/>
  <c r="F139" i="26"/>
  <c r="H139" i="26" s="1"/>
  <c r="H137" i="26"/>
  <c r="H136" i="26"/>
  <c r="H133" i="26"/>
  <c r="F132" i="26"/>
  <c r="H132" i="26" s="1"/>
  <c r="F131" i="26"/>
  <c r="H131" i="26" s="1"/>
  <c r="F130" i="26"/>
  <c r="H130" i="26" s="1"/>
  <c r="F129" i="26"/>
  <c r="H129" i="26" s="1"/>
  <c r="F128" i="26"/>
  <c r="H128" i="26" s="1"/>
  <c r="F127" i="26"/>
  <c r="H127" i="26" s="1"/>
  <c r="F126" i="26"/>
  <c r="H126" i="26" s="1"/>
  <c r="F125" i="26"/>
  <c r="H125" i="26" s="1"/>
  <c r="F124" i="26"/>
  <c r="H124" i="26" s="1"/>
  <c r="H123" i="26"/>
  <c r="F122" i="26"/>
  <c r="H122" i="26" s="1"/>
  <c r="F121" i="26"/>
  <c r="H121" i="26" s="1"/>
  <c r="F120" i="26"/>
  <c r="H120" i="26" s="1"/>
  <c r="H119" i="26"/>
  <c r="H118" i="26"/>
  <c r="H117" i="26"/>
  <c r="H116" i="26"/>
  <c r="H115" i="26"/>
  <c r="H114" i="26"/>
  <c r="H113" i="26"/>
  <c r="H112" i="26"/>
  <c r="H111" i="26"/>
  <c r="H110" i="26"/>
  <c r="H109" i="26"/>
  <c r="H108" i="26"/>
  <c r="H107" i="26"/>
  <c r="H106" i="26"/>
  <c r="H105" i="26"/>
  <c r="D99" i="26"/>
  <c r="F93" i="26"/>
  <c r="H93" i="26" s="1"/>
  <c r="H92" i="26"/>
  <c r="H91" i="26"/>
  <c r="H90" i="26"/>
  <c r="H89" i="26"/>
  <c r="H88" i="26"/>
  <c r="F85" i="26"/>
  <c r="H85" i="26" s="1"/>
  <c r="F84" i="26"/>
  <c r="H84" i="26" s="1"/>
  <c r="F83" i="26"/>
  <c r="H83" i="26" s="1"/>
  <c r="F82" i="26"/>
  <c r="H82" i="26" s="1"/>
  <c r="F81" i="26"/>
  <c r="H81" i="26" s="1"/>
  <c r="F80" i="26"/>
  <c r="H80" i="26" s="1"/>
  <c r="F79" i="26"/>
  <c r="H79" i="26" s="1"/>
  <c r="F78" i="26"/>
  <c r="H78" i="26" s="1"/>
  <c r="F77" i="26"/>
  <c r="H77" i="26" s="1"/>
  <c r="H76" i="26"/>
  <c r="F75" i="26"/>
  <c r="H75" i="26" s="1"/>
  <c r="F74" i="26"/>
  <c r="H74" i="26" s="1"/>
  <c r="F73" i="26"/>
  <c r="H73" i="26" s="1"/>
  <c r="H72" i="26"/>
  <c r="F71" i="26"/>
  <c r="H71" i="26" s="1"/>
  <c r="H70" i="26"/>
  <c r="F69" i="26"/>
  <c r="H69" i="26" s="1"/>
  <c r="H68" i="26"/>
  <c r="F67" i="26"/>
  <c r="H67" i="26" s="1"/>
  <c r="H66" i="26"/>
  <c r="F65" i="26"/>
  <c r="H65" i="26" s="1"/>
  <c r="H64" i="26"/>
  <c r="H63" i="26"/>
  <c r="F62" i="26"/>
  <c r="H62" i="26" s="1"/>
  <c r="F61" i="26"/>
  <c r="H61" i="26" s="1"/>
  <c r="F60" i="26"/>
  <c r="H60" i="26" s="1"/>
  <c r="F59" i="26"/>
  <c r="H59" i="26" s="1"/>
  <c r="F58" i="26"/>
  <c r="H58" i="26" s="1"/>
  <c r="D52" i="26"/>
  <c r="H46" i="26"/>
  <c r="H45" i="26"/>
  <c r="H44" i="26"/>
  <c r="D43" i="26"/>
  <c r="H43" i="26" s="1"/>
  <c r="D42" i="26"/>
  <c r="H42" i="26" s="1"/>
  <c r="H41" i="26"/>
  <c r="D38" i="26"/>
  <c r="H38" i="26" s="1"/>
  <c r="D37" i="26"/>
  <c r="H37" i="26" s="1"/>
  <c r="D36" i="26"/>
  <c r="H36" i="26" s="1"/>
  <c r="D35" i="26"/>
  <c r="H35" i="26" s="1"/>
  <c r="D34" i="26"/>
  <c r="H34" i="26" s="1"/>
  <c r="D33" i="26"/>
  <c r="H33" i="26" s="1"/>
  <c r="D32" i="26"/>
  <c r="H32" i="26" s="1"/>
  <c r="D31" i="26"/>
  <c r="H31" i="26" s="1"/>
  <c r="D30" i="26"/>
  <c r="H30" i="26" s="1"/>
  <c r="H29" i="26"/>
  <c r="D28" i="26"/>
  <c r="H28" i="26" s="1"/>
  <c r="D27" i="26"/>
  <c r="H27" i="26" s="1"/>
  <c r="D26" i="26"/>
  <c r="H26" i="26" s="1"/>
  <c r="H25" i="26"/>
  <c r="D24" i="26"/>
  <c r="H24" i="26" s="1"/>
  <c r="H23" i="26"/>
  <c r="D22" i="26"/>
  <c r="H22" i="26" s="1"/>
  <c r="H21" i="26"/>
  <c r="D20" i="26"/>
  <c r="H20" i="26" s="1"/>
  <c r="H19" i="26"/>
  <c r="D18" i="26"/>
  <c r="H18" i="26" s="1"/>
  <c r="H17" i="26"/>
  <c r="H16" i="26"/>
  <c r="D15" i="26"/>
  <c r="H15" i="26" s="1"/>
  <c r="D14" i="26"/>
  <c r="H14" i="26" s="1"/>
  <c r="H13" i="26"/>
  <c r="D12" i="26"/>
  <c r="H12" i="26" s="1"/>
  <c r="D11" i="26"/>
  <c r="H11" i="26" s="1"/>
  <c r="D3" i="26"/>
  <c r="I14" i="25"/>
  <c r="I16" i="25"/>
  <c r="I18" i="25"/>
  <c r="I22" i="25"/>
  <c r="I20" i="25"/>
  <c r="E87" i="25"/>
  <c r="D87" i="25"/>
  <c r="C87" i="25"/>
  <c r="E86" i="25"/>
  <c r="D86" i="25"/>
  <c r="C86" i="25"/>
  <c r="E84" i="25"/>
  <c r="C84" i="25"/>
  <c r="E83" i="25"/>
  <c r="D83" i="25"/>
  <c r="C83" i="25"/>
  <c r="C82" i="25"/>
  <c r="E81" i="25"/>
  <c r="D81" i="25"/>
  <c r="C81" i="25"/>
  <c r="D73" i="25"/>
  <c r="C73" i="25"/>
  <c r="D72" i="25"/>
  <c r="C72" i="25"/>
  <c r="D71" i="25"/>
  <c r="C71" i="25"/>
  <c r="C69" i="25"/>
  <c r="D68" i="25"/>
  <c r="C68" i="25"/>
  <c r="D67" i="25"/>
  <c r="C67" i="25"/>
  <c r="D66" i="25"/>
  <c r="C66" i="25"/>
  <c r="E56" i="25"/>
  <c r="D56" i="25"/>
  <c r="C56" i="25"/>
  <c r="E55" i="25"/>
  <c r="D55" i="25"/>
  <c r="C55" i="25"/>
  <c r="E53" i="25"/>
  <c r="C53" i="25"/>
  <c r="E47" i="25"/>
  <c r="D47" i="25"/>
  <c r="E22" i="25"/>
  <c r="F22" i="25" s="1"/>
  <c r="C22" i="25"/>
  <c r="C21" i="25"/>
  <c r="E20" i="25"/>
  <c r="K20" i="25" s="1"/>
  <c r="C20" i="25"/>
  <c r="C19" i="25"/>
  <c r="Q18" i="25"/>
  <c r="S18" i="25" s="1"/>
  <c r="G18" i="25"/>
  <c r="M18" i="25" s="1"/>
  <c r="E18" i="25"/>
  <c r="L18" i="25" s="1"/>
  <c r="C18" i="25"/>
  <c r="C17" i="25"/>
  <c r="Q16" i="25"/>
  <c r="S16" i="25" s="1"/>
  <c r="G16" i="25"/>
  <c r="E16" i="25"/>
  <c r="L16" i="25" s="1"/>
  <c r="C16" i="25"/>
  <c r="C15" i="25"/>
  <c r="Q14" i="25"/>
  <c r="S14" i="25" s="1"/>
  <c r="G14" i="25"/>
  <c r="M14" i="25" s="1"/>
  <c r="E14" i="25"/>
  <c r="K14" i="25" s="1"/>
  <c r="C14" i="25"/>
  <c r="Q13" i="25"/>
  <c r="S13" i="25" s="1"/>
  <c r="G13" i="25"/>
  <c r="O13" i="25" s="1"/>
  <c r="E13" i="25"/>
  <c r="K13" i="25" s="1"/>
  <c r="C13" i="25"/>
  <c r="C12" i="25"/>
  <c r="Q11" i="25"/>
  <c r="S11" i="25" s="1"/>
  <c r="G11" i="25"/>
  <c r="M11" i="25" s="1"/>
  <c r="E11" i="25"/>
  <c r="C11" i="25"/>
  <c r="E10" i="25"/>
  <c r="C10" i="25"/>
  <c r="C9" i="25"/>
  <c r="C8" i="25"/>
  <c r="B3" i="25"/>
  <c r="B2" i="25"/>
  <c r="D28" i="25"/>
  <c r="C28" i="25"/>
  <c r="D27" i="25"/>
  <c r="C27" i="25"/>
  <c r="D26" i="25"/>
  <c r="C26" i="25"/>
  <c r="L22" i="25"/>
  <c r="K22" i="25"/>
  <c r="I21" i="25"/>
  <c r="I19" i="25"/>
  <c r="I17" i="25"/>
  <c r="M16" i="25"/>
  <c r="I15" i="25"/>
  <c r="L13" i="25"/>
  <c r="I13" i="25"/>
  <c r="I12" i="25"/>
  <c r="I11" i="25"/>
  <c r="I10" i="25"/>
  <c r="T7" i="25"/>
  <c r="S7" i="25"/>
  <c r="R7" i="25"/>
  <c r="Q7" i="25"/>
  <c r="P7" i="25"/>
  <c r="O7" i="25"/>
  <c r="N7" i="25"/>
  <c r="M7" i="25"/>
  <c r="L7" i="25"/>
  <c r="K7" i="25"/>
  <c r="J7" i="25"/>
  <c r="I7" i="25"/>
  <c r="H7" i="25"/>
  <c r="G7" i="25"/>
  <c r="F7" i="25"/>
  <c r="E7" i="25"/>
  <c r="D7" i="25"/>
  <c r="C7" i="25"/>
  <c r="S6" i="25"/>
  <c r="Q6" i="25"/>
  <c r="O6" i="25"/>
  <c r="M6" i="25"/>
  <c r="K6" i="25"/>
  <c r="I6" i="25"/>
  <c r="G6" i="25"/>
  <c r="D6" i="25"/>
  <c r="S5" i="25"/>
  <c r="Q5" i="25"/>
  <c r="O5" i="25"/>
  <c r="M5" i="25"/>
  <c r="K5" i="25"/>
  <c r="F22" i="24"/>
  <c r="Q22" i="25" s="1"/>
  <c r="S22" i="25" s="1"/>
  <c r="E22" i="24"/>
  <c r="D119" i="26" s="1"/>
  <c r="F20" i="24"/>
  <c r="Q20" i="25" s="1"/>
  <c r="S20" i="25" s="1"/>
  <c r="E20" i="24"/>
  <c r="G20" i="25" s="1"/>
  <c r="M20" i="25" s="1"/>
  <c r="C108" i="24"/>
  <c r="C107" i="24"/>
  <c r="C106" i="24"/>
  <c r="C105" i="24"/>
  <c r="C104" i="24"/>
  <c r="C87" i="24"/>
  <c r="B87" i="24" s="1"/>
  <c r="C85" i="25" s="1"/>
  <c r="C84" i="24"/>
  <c r="E82" i="25" s="1"/>
  <c r="E88" i="25" s="1"/>
  <c r="E89" i="25" s="1"/>
  <c r="C79" i="24"/>
  <c r="E80" i="25" s="1"/>
  <c r="C71" i="24"/>
  <c r="B71" i="24" s="1"/>
  <c r="C70" i="25" s="1"/>
  <c r="C68" i="24"/>
  <c r="C57" i="24"/>
  <c r="B57" i="24" s="1"/>
  <c r="C52" i="25" s="1"/>
  <c r="E34" i="24"/>
  <c r="G21" i="24"/>
  <c r="E21" i="25" s="1"/>
  <c r="E21" i="24"/>
  <c r="G19" i="24"/>
  <c r="E19" i="25" s="1"/>
  <c r="G17" i="24"/>
  <c r="E17" i="25" s="1"/>
  <c r="E17" i="24"/>
  <c r="G15" i="24"/>
  <c r="E15" i="25" s="1"/>
  <c r="E15" i="24"/>
  <c r="G12" i="24"/>
  <c r="E12" i="25" s="1"/>
  <c r="B140" i="23"/>
  <c r="B139" i="23"/>
  <c r="B138" i="23"/>
  <c r="B137" i="23"/>
  <c r="B136" i="23"/>
  <c r="B135" i="23"/>
  <c r="B134" i="23"/>
  <c r="B133" i="23"/>
  <c r="B132" i="23"/>
  <c r="B131" i="23"/>
  <c r="B130" i="23"/>
  <c r="B129" i="23"/>
  <c r="B128" i="23"/>
  <c r="B127" i="23"/>
  <c r="B126" i="23"/>
  <c r="B125" i="23"/>
  <c r="B124" i="23"/>
  <c r="B123" i="23"/>
  <c r="B122" i="23"/>
  <c r="B121" i="23"/>
  <c r="B120" i="23"/>
  <c r="B119" i="23"/>
  <c r="B118" i="23"/>
  <c r="B117" i="23"/>
  <c r="B116" i="23"/>
  <c r="B115" i="23"/>
  <c r="B114" i="23"/>
  <c r="B113" i="23"/>
  <c r="B112" i="23"/>
  <c r="D111" i="23"/>
  <c r="B111" i="23"/>
  <c r="D110" i="23"/>
  <c r="B110" i="23"/>
  <c r="B109" i="23"/>
  <c r="D108" i="23"/>
  <c r="B108" i="23"/>
  <c r="B107" i="23"/>
  <c r="B106" i="23"/>
  <c r="B105" i="23"/>
  <c r="B103" i="23"/>
  <c r="B93" i="23"/>
  <c r="B92" i="23"/>
  <c r="B91" i="23"/>
  <c r="B90" i="23"/>
  <c r="B89" i="23"/>
  <c r="B88" i="23"/>
  <c r="B87" i="23"/>
  <c r="B86" i="23"/>
  <c r="B85" i="23"/>
  <c r="B84" i="23"/>
  <c r="B83" i="23"/>
  <c r="B82" i="23"/>
  <c r="B81" i="23"/>
  <c r="B80" i="23"/>
  <c r="B79" i="23"/>
  <c r="B78" i="23"/>
  <c r="B77" i="23"/>
  <c r="B76" i="23"/>
  <c r="B75" i="23"/>
  <c r="B74" i="23"/>
  <c r="B73" i="23"/>
  <c r="B72" i="23"/>
  <c r="B71" i="23"/>
  <c r="B70" i="23"/>
  <c r="B69" i="23"/>
  <c r="B68" i="23"/>
  <c r="B67" i="23"/>
  <c r="B66" i="23"/>
  <c r="B65" i="23"/>
  <c r="D64" i="23"/>
  <c r="B64" i="23"/>
  <c r="D63" i="23"/>
  <c r="B63" i="23"/>
  <c r="B62" i="23"/>
  <c r="D61" i="23"/>
  <c r="B61" i="23"/>
  <c r="B60" i="23"/>
  <c r="B59" i="23"/>
  <c r="B58" i="23"/>
  <c r="B56" i="23"/>
  <c r="B46" i="23"/>
  <c r="B45" i="23"/>
  <c r="B44" i="23"/>
  <c r="B43" i="23"/>
  <c r="B42" i="23"/>
  <c r="B41" i="23"/>
  <c r="B40" i="23"/>
  <c r="B39" i="23"/>
  <c r="B38" i="23"/>
  <c r="B37" i="23"/>
  <c r="B36" i="23"/>
  <c r="B35" i="23"/>
  <c r="B34" i="23"/>
  <c r="B33" i="23"/>
  <c r="B32" i="23"/>
  <c r="B31" i="23"/>
  <c r="B30" i="23"/>
  <c r="B29" i="23"/>
  <c r="B28" i="23"/>
  <c r="B27" i="23"/>
  <c r="B26" i="23"/>
  <c r="B25" i="23"/>
  <c r="B24" i="23"/>
  <c r="B23" i="23"/>
  <c r="B22" i="23"/>
  <c r="B21" i="23"/>
  <c r="B20" i="23"/>
  <c r="B19" i="23"/>
  <c r="B18" i="23"/>
  <c r="B17" i="23"/>
  <c r="B16" i="23"/>
  <c r="B15" i="23"/>
  <c r="B14" i="23"/>
  <c r="B13" i="23"/>
  <c r="B12" i="23"/>
  <c r="B11" i="23"/>
  <c r="B9" i="23"/>
  <c r="B5" i="23"/>
  <c r="B4" i="23"/>
  <c r="H140" i="23"/>
  <c r="F139" i="23"/>
  <c r="H139" i="23" s="1"/>
  <c r="F137" i="23"/>
  <c r="H137" i="23" s="1"/>
  <c r="H136" i="23"/>
  <c r="H133" i="23"/>
  <c r="F132" i="23"/>
  <c r="H132" i="23" s="1"/>
  <c r="F131" i="23"/>
  <c r="H131" i="23" s="1"/>
  <c r="F130" i="23"/>
  <c r="H130" i="23" s="1"/>
  <c r="F129" i="23"/>
  <c r="H129" i="23" s="1"/>
  <c r="F128" i="23"/>
  <c r="H128" i="23" s="1"/>
  <c r="F127" i="23"/>
  <c r="H127" i="23" s="1"/>
  <c r="F126" i="23"/>
  <c r="H126" i="23" s="1"/>
  <c r="F125" i="23"/>
  <c r="H125" i="23" s="1"/>
  <c r="F124" i="23"/>
  <c r="H124" i="23" s="1"/>
  <c r="H123" i="23"/>
  <c r="F122" i="23"/>
  <c r="H122" i="23" s="1"/>
  <c r="F121" i="23"/>
  <c r="H121" i="23" s="1"/>
  <c r="F120" i="23"/>
  <c r="H120" i="23" s="1"/>
  <c r="H119" i="23"/>
  <c r="H118" i="23"/>
  <c r="H117" i="23"/>
  <c r="H116" i="23"/>
  <c r="H115" i="23"/>
  <c r="H114" i="23"/>
  <c r="H113" i="23"/>
  <c r="H112" i="23"/>
  <c r="H111" i="23"/>
  <c r="H110" i="23"/>
  <c r="H109" i="23"/>
  <c r="H108" i="23"/>
  <c r="H107" i="23"/>
  <c r="H106" i="23"/>
  <c r="H105" i="23"/>
  <c r="D99" i="23"/>
  <c r="F93" i="23"/>
  <c r="H93" i="23" s="1"/>
  <c r="H92" i="23"/>
  <c r="H91" i="23"/>
  <c r="F90" i="23"/>
  <c r="H90" i="23" s="1"/>
  <c r="H89" i="23"/>
  <c r="H88" i="23"/>
  <c r="F85" i="23"/>
  <c r="H85" i="23" s="1"/>
  <c r="F84" i="23"/>
  <c r="H84" i="23" s="1"/>
  <c r="F83" i="23"/>
  <c r="H83" i="23" s="1"/>
  <c r="F82" i="23"/>
  <c r="H82" i="23" s="1"/>
  <c r="F81" i="23"/>
  <c r="H81" i="23" s="1"/>
  <c r="F80" i="23"/>
  <c r="H80" i="23" s="1"/>
  <c r="F79" i="23"/>
  <c r="H79" i="23" s="1"/>
  <c r="F78" i="23"/>
  <c r="H78" i="23" s="1"/>
  <c r="F77" i="23"/>
  <c r="H77" i="23" s="1"/>
  <c r="H76" i="23"/>
  <c r="F75" i="23"/>
  <c r="H75" i="23" s="1"/>
  <c r="F74" i="23"/>
  <c r="H74" i="23" s="1"/>
  <c r="F73" i="23"/>
  <c r="H73" i="23" s="1"/>
  <c r="H72" i="23"/>
  <c r="F71" i="23"/>
  <c r="H71" i="23" s="1"/>
  <c r="H70" i="23"/>
  <c r="F69" i="23"/>
  <c r="H69" i="23" s="1"/>
  <c r="H68" i="23"/>
  <c r="F67" i="23"/>
  <c r="H67" i="23" s="1"/>
  <c r="H66" i="23"/>
  <c r="F65" i="23"/>
  <c r="H65" i="23" s="1"/>
  <c r="H64" i="23"/>
  <c r="H63" i="23"/>
  <c r="F62" i="23"/>
  <c r="H62" i="23" s="1"/>
  <c r="F61" i="23"/>
  <c r="H61" i="23" s="1"/>
  <c r="F60" i="23"/>
  <c r="H60" i="23" s="1"/>
  <c r="F59" i="23"/>
  <c r="H59" i="23" s="1"/>
  <c r="F58" i="23"/>
  <c r="H58" i="23" s="1"/>
  <c r="D52" i="23"/>
  <c r="H46" i="23"/>
  <c r="H45" i="23"/>
  <c r="H44" i="23"/>
  <c r="D43" i="23"/>
  <c r="H43" i="23" s="1"/>
  <c r="D42" i="23"/>
  <c r="H42" i="23" s="1"/>
  <c r="H41" i="23"/>
  <c r="D38" i="23"/>
  <c r="H38" i="23" s="1"/>
  <c r="D37" i="23"/>
  <c r="H37" i="23" s="1"/>
  <c r="D36" i="23"/>
  <c r="H36" i="23" s="1"/>
  <c r="D35" i="23"/>
  <c r="H35" i="23" s="1"/>
  <c r="D34" i="23"/>
  <c r="H34" i="23" s="1"/>
  <c r="D33" i="23"/>
  <c r="H33" i="23" s="1"/>
  <c r="D32" i="23"/>
  <c r="H32" i="23" s="1"/>
  <c r="D31" i="23"/>
  <c r="H31" i="23" s="1"/>
  <c r="D30" i="23"/>
  <c r="H30" i="23" s="1"/>
  <c r="H29" i="23"/>
  <c r="D28" i="23"/>
  <c r="H28" i="23" s="1"/>
  <c r="D27" i="23"/>
  <c r="H27" i="23" s="1"/>
  <c r="D26" i="23"/>
  <c r="H26" i="23" s="1"/>
  <c r="H25" i="23"/>
  <c r="D24" i="23"/>
  <c r="H24" i="23" s="1"/>
  <c r="H23" i="23"/>
  <c r="D22" i="23"/>
  <c r="H22" i="23" s="1"/>
  <c r="H21" i="23"/>
  <c r="D20" i="23"/>
  <c r="H20" i="23" s="1"/>
  <c r="H19" i="23"/>
  <c r="D18" i="23"/>
  <c r="H18" i="23" s="1"/>
  <c r="H17" i="23"/>
  <c r="H16" i="23"/>
  <c r="D15" i="23"/>
  <c r="H15" i="23" s="1"/>
  <c r="D14" i="23"/>
  <c r="H14" i="23" s="1"/>
  <c r="D13" i="23"/>
  <c r="H13" i="23" s="1"/>
  <c r="D12" i="23"/>
  <c r="H12" i="23" s="1"/>
  <c r="D11" i="23"/>
  <c r="H11" i="23" s="1"/>
  <c r="D3" i="23"/>
  <c r="B5" i="13"/>
  <c r="B4" i="13"/>
  <c r="B5" i="16"/>
  <c r="B4" i="16"/>
  <c r="B5" i="7"/>
  <c r="B4" i="7"/>
  <c r="B3" i="8"/>
  <c r="B2" i="8"/>
  <c r="B3" i="15"/>
  <c r="B2" i="15"/>
  <c r="B3" i="12"/>
  <c r="B2" i="12"/>
  <c r="B3" i="22"/>
  <c r="B2" i="22"/>
  <c r="E85" i="22"/>
  <c r="D85" i="22"/>
  <c r="C85" i="22"/>
  <c r="E84" i="22"/>
  <c r="D84" i="22"/>
  <c r="C84" i="22"/>
  <c r="E82" i="22"/>
  <c r="C82" i="22"/>
  <c r="E81" i="22"/>
  <c r="D81" i="22"/>
  <c r="C81" i="22"/>
  <c r="C80" i="22"/>
  <c r="E79" i="22"/>
  <c r="D79" i="22"/>
  <c r="C79" i="22"/>
  <c r="D71" i="22"/>
  <c r="C71" i="22"/>
  <c r="D70" i="22"/>
  <c r="C70" i="22"/>
  <c r="D69" i="22"/>
  <c r="C69" i="22"/>
  <c r="C67" i="22"/>
  <c r="D66" i="22"/>
  <c r="C66" i="22"/>
  <c r="C65" i="22"/>
  <c r="D64" i="22"/>
  <c r="C64" i="22"/>
  <c r="C54" i="22"/>
  <c r="E53" i="22"/>
  <c r="D53" i="22"/>
  <c r="C53" i="22"/>
  <c r="E51" i="22"/>
  <c r="C51" i="22"/>
  <c r="E49" i="22"/>
  <c r="D49" i="22"/>
  <c r="C49" i="22"/>
  <c r="E45" i="22"/>
  <c r="E22" i="22"/>
  <c r="F22" i="22" s="1"/>
  <c r="C22" i="22"/>
  <c r="C21" i="22"/>
  <c r="E20" i="22"/>
  <c r="K20" i="22" s="1"/>
  <c r="C20" i="22"/>
  <c r="C19" i="22"/>
  <c r="E18" i="22"/>
  <c r="F18" i="22" s="1"/>
  <c r="C18" i="22"/>
  <c r="C17" i="22"/>
  <c r="E16" i="22"/>
  <c r="K16" i="22" s="1"/>
  <c r="C16" i="22"/>
  <c r="C15" i="22"/>
  <c r="Q14" i="22"/>
  <c r="S14" i="22" s="1"/>
  <c r="G14" i="22"/>
  <c r="M14" i="22" s="1"/>
  <c r="E14" i="22"/>
  <c r="F14" i="22" s="1"/>
  <c r="C14" i="22"/>
  <c r="Q13" i="22"/>
  <c r="S13" i="22" s="1"/>
  <c r="G13" i="22"/>
  <c r="E13" i="22"/>
  <c r="K13" i="22" s="1"/>
  <c r="C13" i="22"/>
  <c r="C12" i="22"/>
  <c r="Q11" i="22"/>
  <c r="S11" i="22" s="1"/>
  <c r="G11" i="22"/>
  <c r="O11" i="22" s="1"/>
  <c r="E11" i="22"/>
  <c r="F11" i="22" s="1"/>
  <c r="C11" i="22"/>
  <c r="E10" i="22"/>
  <c r="C10" i="22"/>
  <c r="C9" i="22"/>
  <c r="C8" i="22"/>
  <c r="D28" i="22"/>
  <c r="C28" i="22"/>
  <c r="D27" i="22"/>
  <c r="C27" i="22"/>
  <c r="D26" i="22"/>
  <c r="C26" i="22"/>
  <c r="I22" i="22"/>
  <c r="I21" i="22"/>
  <c r="I20" i="22"/>
  <c r="I19" i="22"/>
  <c r="I18" i="22"/>
  <c r="I17" i="22"/>
  <c r="I16" i="22"/>
  <c r="L16" i="22"/>
  <c r="I15" i="22"/>
  <c r="I14" i="22"/>
  <c r="I13" i="22"/>
  <c r="I12" i="22"/>
  <c r="I11" i="22"/>
  <c r="I10" i="22"/>
  <c r="T7" i="22"/>
  <c r="S7" i="22"/>
  <c r="R7" i="22"/>
  <c r="Q7" i="22"/>
  <c r="P7" i="22"/>
  <c r="O7" i="22"/>
  <c r="N7" i="22"/>
  <c r="M7" i="22"/>
  <c r="L7" i="22"/>
  <c r="K7" i="22"/>
  <c r="J7" i="22"/>
  <c r="I7" i="22"/>
  <c r="H7" i="22"/>
  <c r="G7" i="22"/>
  <c r="F7" i="22"/>
  <c r="E7" i="22"/>
  <c r="D7" i="22"/>
  <c r="C7" i="22"/>
  <c r="S6" i="22"/>
  <c r="Q6" i="22"/>
  <c r="O6" i="22"/>
  <c r="M6" i="22"/>
  <c r="K6" i="22"/>
  <c r="I6" i="22"/>
  <c r="G6" i="22"/>
  <c r="D6" i="22"/>
  <c r="S5" i="22"/>
  <c r="Q5" i="22"/>
  <c r="O5" i="22"/>
  <c r="M5" i="22"/>
  <c r="K5" i="22"/>
  <c r="F22" i="21"/>
  <c r="Q22" i="22" s="1"/>
  <c r="S22" i="22" s="1"/>
  <c r="E22" i="21"/>
  <c r="D119" i="23" s="1"/>
  <c r="F20" i="21"/>
  <c r="Q20" i="22" s="1"/>
  <c r="S20" i="22" s="1"/>
  <c r="E20" i="21"/>
  <c r="D117" i="23" s="1"/>
  <c r="F18" i="21"/>
  <c r="Q18" i="22" s="1"/>
  <c r="S18" i="22" s="1"/>
  <c r="E18" i="21"/>
  <c r="D115" i="23" s="1"/>
  <c r="F16" i="21"/>
  <c r="Q16" i="22" s="1"/>
  <c r="S16" i="22" s="1"/>
  <c r="E16" i="21"/>
  <c r="D113" i="23" s="1"/>
  <c r="C107" i="21"/>
  <c r="C106" i="21"/>
  <c r="C105" i="21"/>
  <c r="C104" i="21"/>
  <c r="C87" i="21"/>
  <c r="B87" i="21" s="1"/>
  <c r="C83" i="22" s="1"/>
  <c r="C84" i="21"/>
  <c r="E80" i="22" s="1"/>
  <c r="C79" i="21"/>
  <c r="D78" i="22" s="1"/>
  <c r="C71" i="21"/>
  <c r="C68" i="21"/>
  <c r="D65" i="22" s="1"/>
  <c r="C57" i="21"/>
  <c r="B57" i="21" s="1"/>
  <c r="C50" i="22" s="1"/>
  <c r="E34" i="21"/>
  <c r="G21" i="21"/>
  <c r="E21" i="22" s="1"/>
  <c r="E21" i="21"/>
  <c r="G19" i="21"/>
  <c r="E19" i="22" s="1"/>
  <c r="G17" i="21"/>
  <c r="E17" i="22" s="1"/>
  <c r="E17" i="21"/>
  <c r="G15" i="21"/>
  <c r="E15" i="22" s="1"/>
  <c r="E15" i="21"/>
  <c r="G12" i="21"/>
  <c r="E12" i="22" s="1"/>
  <c r="B140" i="16"/>
  <c r="B139" i="16"/>
  <c r="B138" i="16"/>
  <c r="B137" i="16"/>
  <c r="B136" i="16"/>
  <c r="B135" i="16"/>
  <c r="B134" i="16"/>
  <c r="B133" i="16"/>
  <c r="B132" i="16"/>
  <c r="B131" i="16"/>
  <c r="B130" i="16"/>
  <c r="B129" i="16"/>
  <c r="B128" i="16"/>
  <c r="B127" i="16"/>
  <c r="B126" i="16"/>
  <c r="B125" i="16"/>
  <c r="B124" i="16"/>
  <c r="B123" i="16"/>
  <c r="B122" i="16"/>
  <c r="B121" i="16"/>
  <c r="B120" i="16"/>
  <c r="D119" i="16"/>
  <c r="B119" i="16"/>
  <c r="B118" i="16"/>
  <c r="D117" i="16"/>
  <c r="B117" i="16"/>
  <c r="B116" i="16"/>
  <c r="D115" i="16"/>
  <c r="B115" i="16"/>
  <c r="B114" i="16"/>
  <c r="D113" i="16"/>
  <c r="B113" i="16"/>
  <c r="B112" i="16"/>
  <c r="D111" i="16"/>
  <c r="B111" i="16"/>
  <c r="D110" i="16"/>
  <c r="B110" i="16"/>
  <c r="B109" i="16"/>
  <c r="D108" i="16"/>
  <c r="B108" i="16"/>
  <c r="B107" i="16"/>
  <c r="B106" i="16"/>
  <c r="B105" i="16"/>
  <c r="B103" i="16"/>
  <c r="B93" i="16"/>
  <c r="B92" i="16"/>
  <c r="B91" i="16"/>
  <c r="B90" i="16"/>
  <c r="B89" i="16"/>
  <c r="B88" i="16"/>
  <c r="B87" i="16"/>
  <c r="B86" i="16"/>
  <c r="B85" i="16"/>
  <c r="B84" i="16"/>
  <c r="B83" i="16"/>
  <c r="B82" i="16"/>
  <c r="B81" i="16"/>
  <c r="B80" i="16"/>
  <c r="B79" i="16"/>
  <c r="B78" i="16"/>
  <c r="B77" i="16"/>
  <c r="B76" i="16"/>
  <c r="B75" i="16"/>
  <c r="B74" i="16"/>
  <c r="B73" i="16"/>
  <c r="D72" i="16"/>
  <c r="B72" i="16"/>
  <c r="B71" i="16"/>
  <c r="D70" i="16"/>
  <c r="B70" i="16"/>
  <c r="B69" i="16"/>
  <c r="D68" i="16"/>
  <c r="B68" i="16"/>
  <c r="B67" i="16"/>
  <c r="D66" i="16"/>
  <c r="B66" i="16"/>
  <c r="B65" i="16"/>
  <c r="D64" i="16"/>
  <c r="B64" i="16"/>
  <c r="D63" i="16"/>
  <c r="B63" i="16"/>
  <c r="B62" i="16"/>
  <c r="D61" i="16"/>
  <c r="B61" i="16"/>
  <c r="B60" i="16"/>
  <c r="B59" i="16"/>
  <c r="B58" i="16"/>
  <c r="B56" i="16"/>
  <c r="B46" i="16"/>
  <c r="B45" i="16"/>
  <c r="B44" i="16"/>
  <c r="B43" i="16"/>
  <c r="B42" i="16"/>
  <c r="B41" i="16"/>
  <c r="B40" i="16"/>
  <c r="B39" i="16"/>
  <c r="B38" i="16"/>
  <c r="B37" i="16"/>
  <c r="B36" i="16"/>
  <c r="B35" i="16"/>
  <c r="B34" i="16"/>
  <c r="B33" i="16"/>
  <c r="B32" i="16"/>
  <c r="B31" i="16"/>
  <c r="B30" i="16"/>
  <c r="B29" i="16"/>
  <c r="B28" i="16"/>
  <c r="B27" i="16"/>
  <c r="B26" i="16"/>
  <c r="B25" i="16"/>
  <c r="B24" i="16"/>
  <c r="B23" i="16"/>
  <c r="B22" i="16"/>
  <c r="B21" i="16"/>
  <c r="B20" i="16"/>
  <c r="B19" i="16"/>
  <c r="B18" i="16"/>
  <c r="B17" i="16"/>
  <c r="B16" i="16"/>
  <c r="B15" i="16"/>
  <c r="B14" i="16"/>
  <c r="B13" i="16"/>
  <c r="B12" i="16"/>
  <c r="B11" i="16"/>
  <c r="B9" i="16"/>
  <c r="F140" i="16"/>
  <c r="H140" i="16" s="1"/>
  <c r="H139" i="16"/>
  <c r="F137" i="16"/>
  <c r="H137" i="16" s="1"/>
  <c r="H136" i="16"/>
  <c r="H133" i="16"/>
  <c r="F132" i="16"/>
  <c r="H132" i="16" s="1"/>
  <c r="F131" i="16"/>
  <c r="H131" i="16" s="1"/>
  <c r="F130" i="16"/>
  <c r="H130" i="16" s="1"/>
  <c r="F129" i="16"/>
  <c r="H129" i="16" s="1"/>
  <c r="F128" i="16"/>
  <c r="H128" i="16" s="1"/>
  <c r="F127" i="16"/>
  <c r="H127" i="16" s="1"/>
  <c r="F126" i="16"/>
  <c r="H126" i="16" s="1"/>
  <c r="F125" i="16"/>
  <c r="H125" i="16" s="1"/>
  <c r="F124" i="16"/>
  <c r="H124" i="16" s="1"/>
  <c r="H123" i="16"/>
  <c r="F122" i="16"/>
  <c r="H122" i="16" s="1"/>
  <c r="F121" i="16"/>
  <c r="H121" i="16" s="1"/>
  <c r="F120" i="16"/>
  <c r="H120" i="16" s="1"/>
  <c r="H119" i="16"/>
  <c r="H118" i="16"/>
  <c r="H117" i="16"/>
  <c r="H116" i="16"/>
  <c r="H115" i="16"/>
  <c r="H114" i="16"/>
  <c r="H113" i="16"/>
  <c r="H112" i="16"/>
  <c r="H111" i="16"/>
  <c r="H110" i="16"/>
  <c r="H109" i="16"/>
  <c r="H108" i="16"/>
  <c r="H107" i="16"/>
  <c r="H106" i="16"/>
  <c r="H105" i="16"/>
  <c r="D99" i="16"/>
  <c r="F93" i="16"/>
  <c r="H93" i="16" s="1"/>
  <c r="H92" i="16"/>
  <c r="H91" i="16"/>
  <c r="F90" i="16"/>
  <c r="H90" i="16" s="1"/>
  <c r="H89" i="16"/>
  <c r="H88" i="16"/>
  <c r="F85" i="16"/>
  <c r="H85" i="16" s="1"/>
  <c r="F84" i="16"/>
  <c r="H84" i="16" s="1"/>
  <c r="F83" i="16"/>
  <c r="H83" i="16" s="1"/>
  <c r="F82" i="16"/>
  <c r="H82" i="16" s="1"/>
  <c r="F81" i="16"/>
  <c r="H81" i="16" s="1"/>
  <c r="F80" i="16"/>
  <c r="H80" i="16" s="1"/>
  <c r="F79" i="16"/>
  <c r="H79" i="16" s="1"/>
  <c r="F78" i="16"/>
  <c r="H78" i="16" s="1"/>
  <c r="F77" i="16"/>
  <c r="H77" i="16" s="1"/>
  <c r="H76" i="16"/>
  <c r="F75" i="16"/>
  <c r="H75" i="16" s="1"/>
  <c r="F74" i="16"/>
  <c r="H74" i="16" s="1"/>
  <c r="F73" i="16"/>
  <c r="H73" i="16" s="1"/>
  <c r="H72" i="16"/>
  <c r="H71" i="16"/>
  <c r="H70" i="16"/>
  <c r="F69" i="16"/>
  <c r="H69" i="16" s="1"/>
  <c r="H68" i="16"/>
  <c r="H67" i="16"/>
  <c r="H66" i="16"/>
  <c r="H65" i="16"/>
  <c r="H64" i="16"/>
  <c r="H63" i="16"/>
  <c r="H62" i="16"/>
  <c r="F61" i="16"/>
  <c r="H61" i="16" s="1"/>
  <c r="F60" i="16"/>
  <c r="H60" i="16" s="1"/>
  <c r="F59" i="16"/>
  <c r="H59" i="16" s="1"/>
  <c r="F58" i="16"/>
  <c r="H58" i="16" s="1"/>
  <c r="D52" i="16"/>
  <c r="D46" i="16"/>
  <c r="H46" i="16" s="1"/>
  <c r="H45" i="16"/>
  <c r="H44" i="16"/>
  <c r="D43" i="16"/>
  <c r="H43" i="16" s="1"/>
  <c r="H42" i="16"/>
  <c r="H41" i="16"/>
  <c r="D38" i="16"/>
  <c r="H38" i="16" s="1"/>
  <c r="D37" i="16"/>
  <c r="H37" i="16" s="1"/>
  <c r="D36" i="16"/>
  <c r="H36" i="16" s="1"/>
  <c r="D35" i="16"/>
  <c r="H35" i="16" s="1"/>
  <c r="D34" i="16"/>
  <c r="H34" i="16" s="1"/>
  <c r="D33" i="16"/>
  <c r="H33" i="16" s="1"/>
  <c r="D32" i="16"/>
  <c r="H32" i="16" s="1"/>
  <c r="H31" i="16"/>
  <c r="D30" i="16"/>
  <c r="H30" i="16" s="1"/>
  <c r="H29" i="16"/>
  <c r="D28" i="16"/>
  <c r="H28" i="16" s="1"/>
  <c r="D27" i="16"/>
  <c r="H27" i="16" s="1"/>
  <c r="D26" i="16"/>
  <c r="H26" i="16" s="1"/>
  <c r="H25" i="16"/>
  <c r="H24" i="16"/>
  <c r="H23" i="16"/>
  <c r="D22" i="16"/>
  <c r="H22" i="16" s="1"/>
  <c r="H21" i="16"/>
  <c r="H20" i="16"/>
  <c r="H19" i="16"/>
  <c r="H18" i="16"/>
  <c r="H17" i="16"/>
  <c r="H16" i="16"/>
  <c r="H15" i="16"/>
  <c r="D14" i="16"/>
  <c r="H14" i="16" s="1"/>
  <c r="D13" i="16"/>
  <c r="H13" i="16" s="1"/>
  <c r="D12" i="16"/>
  <c r="H12" i="16" s="1"/>
  <c r="D11" i="16"/>
  <c r="H11" i="16" s="1"/>
  <c r="D3" i="16"/>
  <c r="D113" i="15"/>
  <c r="I8" i="15"/>
  <c r="D46" i="15"/>
  <c r="E46" i="15"/>
  <c r="E52" i="15"/>
  <c r="D52" i="15"/>
  <c r="E51" i="15"/>
  <c r="D51" i="15"/>
  <c r="E50" i="15"/>
  <c r="D50" i="15"/>
  <c r="E49" i="15"/>
  <c r="D48" i="15"/>
  <c r="E47" i="15"/>
  <c r="D47" i="15"/>
  <c r="D104" i="15"/>
  <c r="D123" i="15" s="1"/>
  <c r="D105" i="15"/>
  <c r="D120" i="15" s="1"/>
  <c r="D103" i="15"/>
  <c r="D110" i="15" s="1"/>
  <c r="D102" i="15"/>
  <c r="D101" i="15"/>
  <c r="D119" i="15" s="1"/>
  <c r="E100" i="15"/>
  <c r="E99" i="15"/>
  <c r="D136" i="15" s="1"/>
  <c r="E97" i="15"/>
  <c r="D132" i="15" s="1"/>
  <c r="D96" i="15"/>
  <c r="D129" i="15" s="1"/>
  <c r="C159" i="15"/>
  <c r="D135" i="15"/>
  <c r="C108" i="14"/>
  <c r="E96" i="15" s="1"/>
  <c r="D131" i="15" s="1"/>
  <c r="F21" i="22" l="1"/>
  <c r="D70" i="23"/>
  <c r="D53" i="15"/>
  <c r="D54" i="15" s="1"/>
  <c r="F12" i="22"/>
  <c r="J12" i="22" s="1"/>
  <c r="G22" i="25"/>
  <c r="M22" i="25" s="1"/>
  <c r="F21" i="25"/>
  <c r="K18" i="25"/>
  <c r="N18" i="25" s="1"/>
  <c r="F14" i="25"/>
  <c r="H14" i="25" s="1"/>
  <c r="L20" i="25"/>
  <c r="T20" i="25" s="1"/>
  <c r="L14" i="25"/>
  <c r="T14" i="25" s="1"/>
  <c r="L20" i="22"/>
  <c r="F16" i="22"/>
  <c r="F15" i="22"/>
  <c r="F19" i="22"/>
  <c r="E86" i="22"/>
  <c r="E87" i="22" s="1"/>
  <c r="L18" i="22"/>
  <c r="T18" i="22" s="1"/>
  <c r="M11" i="22"/>
  <c r="N11" i="22" s="1"/>
  <c r="L14" i="22"/>
  <c r="K14" i="22"/>
  <c r="R14" i="22" s="1"/>
  <c r="F10" i="22"/>
  <c r="L11" i="22"/>
  <c r="R20" i="22"/>
  <c r="C109" i="21"/>
  <c r="G18" i="22"/>
  <c r="M18" i="22" s="1"/>
  <c r="F17" i="22"/>
  <c r="J17" i="22" s="1"/>
  <c r="F20" i="22"/>
  <c r="L22" i="22"/>
  <c r="R13" i="22"/>
  <c r="G22" i="22"/>
  <c r="M22" i="22" s="1"/>
  <c r="D80" i="22"/>
  <c r="D68" i="23"/>
  <c r="F12" i="25"/>
  <c r="J12" i="25" s="1"/>
  <c r="F17" i="25"/>
  <c r="J17" i="25" s="1"/>
  <c r="F13" i="25"/>
  <c r="H13" i="25" s="1"/>
  <c r="H31" i="25" s="1"/>
  <c r="F18" i="25"/>
  <c r="R16" i="22"/>
  <c r="K22" i="22"/>
  <c r="D83" i="22"/>
  <c r="F10" i="25"/>
  <c r="J10" i="25" s="1"/>
  <c r="E53" i="15"/>
  <c r="E54" i="15" s="1"/>
  <c r="D55" i="15" s="1"/>
  <c r="G8" i="15" s="1"/>
  <c r="D68" i="22"/>
  <c r="B71" i="21"/>
  <c r="C68" i="22" s="1"/>
  <c r="E66" i="29"/>
  <c r="E74" i="29" s="1"/>
  <c r="E75" i="29" s="1"/>
  <c r="D66" i="29"/>
  <c r="F12" i="29"/>
  <c r="K13" i="29"/>
  <c r="R13" i="29" s="1"/>
  <c r="P13" i="25"/>
  <c r="F13" i="22"/>
  <c r="H13" i="22" s="1"/>
  <c r="G16" i="22"/>
  <c r="M16" i="22" s="1"/>
  <c r="N16" i="22" s="1"/>
  <c r="G20" i="22"/>
  <c r="M20" i="22" s="1"/>
  <c r="N20" i="22" s="1"/>
  <c r="E78" i="22"/>
  <c r="D72" i="23"/>
  <c r="R18" i="22"/>
  <c r="D50" i="22"/>
  <c r="L13" i="22"/>
  <c r="T13" i="22" s="1"/>
  <c r="D66" i="23"/>
  <c r="T16" i="25"/>
  <c r="C109" i="24"/>
  <c r="R14" i="25"/>
  <c r="K16" i="25"/>
  <c r="R16" i="25" s="1"/>
  <c r="H22" i="25"/>
  <c r="D82" i="25"/>
  <c r="D85" i="25"/>
  <c r="D70" i="26"/>
  <c r="D117" i="26"/>
  <c r="D52" i="25"/>
  <c r="D54" i="25" s="1"/>
  <c r="D57" i="25" s="1"/>
  <c r="D58" i="25" s="1"/>
  <c r="R20" i="25"/>
  <c r="T13" i="25"/>
  <c r="D80" i="25"/>
  <c r="F20" i="25"/>
  <c r="H20" i="25" s="1"/>
  <c r="D70" i="25"/>
  <c r="D72" i="26"/>
  <c r="D72" i="30"/>
  <c r="D119" i="30"/>
  <c r="D70" i="30"/>
  <c r="D117" i="30"/>
  <c r="D66" i="30"/>
  <c r="D113" i="30"/>
  <c r="K14" i="29"/>
  <c r="R14" i="29" s="1"/>
  <c r="F22" i="29"/>
  <c r="J22" i="29" s="1"/>
  <c r="D50" i="29"/>
  <c r="D52" i="29" s="1"/>
  <c r="D55" i="29" s="1"/>
  <c r="D56" i="29" s="1"/>
  <c r="E64" i="29"/>
  <c r="F10" i="29"/>
  <c r="J10" i="29" s="1"/>
  <c r="F15" i="29"/>
  <c r="F19" i="29"/>
  <c r="J19" i="29" s="1"/>
  <c r="J13" i="29"/>
  <c r="L13" i="29"/>
  <c r="T13" i="29" s="1"/>
  <c r="L14" i="29"/>
  <c r="T14" i="29" s="1"/>
  <c r="K18" i="29"/>
  <c r="L18" i="29"/>
  <c r="T18" i="29" s="1"/>
  <c r="K22" i="29"/>
  <c r="N22" i="29" s="1"/>
  <c r="R16" i="29"/>
  <c r="F17" i="29"/>
  <c r="R20" i="29"/>
  <c r="F21" i="29"/>
  <c r="J21" i="29" s="1"/>
  <c r="F11" i="29"/>
  <c r="J11" i="29" s="1"/>
  <c r="L11" i="29"/>
  <c r="T11" i="29" s="1"/>
  <c r="F16" i="29"/>
  <c r="L16" i="29"/>
  <c r="T16" i="29" s="1"/>
  <c r="F20" i="29"/>
  <c r="L20" i="29"/>
  <c r="T20" i="29" s="1"/>
  <c r="T22" i="29"/>
  <c r="N11" i="29"/>
  <c r="J14" i="29"/>
  <c r="J18" i="29"/>
  <c r="H14" i="29"/>
  <c r="H18" i="29"/>
  <c r="N16" i="29"/>
  <c r="N20" i="29"/>
  <c r="R11" i="29"/>
  <c r="M14" i="29"/>
  <c r="M18" i="29"/>
  <c r="H13" i="29"/>
  <c r="H31" i="29" s="1"/>
  <c r="O11" i="29"/>
  <c r="O14" i="29"/>
  <c r="O16" i="29"/>
  <c r="O18" i="29"/>
  <c r="O20" i="29"/>
  <c r="O22" i="29"/>
  <c r="P22" i="29" s="1"/>
  <c r="J21" i="25"/>
  <c r="T18" i="25"/>
  <c r="T22" i="25"/>
  <c r="K11" i="25"/>
  <c r="R13" i="25"/>
  <c r="F19" i="25"/>
  <c r="J19" i="25" s="1"/>
  <c r="F11" i="25"/>
  <c r="H11" i="25" s="1"/>
  <c r="L11" i="25"/>
  <c r="F15" i="25"/>
  <c r="J15" i="25" s="1"/>
  <c r="R18" i="25"/>
  <c r="R22" i="25"/>
  <c r="F16" i="25"/>
  <c r="H16" i="25" s="1"/>
  <c r="H18" i="25"/>
  <c r="J18" i="25"/>
  <c r="J22" i="25"/>
  <c r="R11" i="25"/>
  <c r="N14" i="25"/>
  <c r="N16" i="25"/>
  <c r="N20" i="25"/>
  <c r="N22" i="25"/>
  <c r="O11" i="25"/>
  <c r="O14" i="25"/>
  <c r="O16" i="25"/>
  <c r="P16" i="25" s="1"/>
  <c r="O18" i="25"/>
  <c r="P18" i="25" s="1"/>
  <c r="O20" i="25"/>
  <c r="O22" i="25"/>
  <c r="P22" i="25" s="1"/>
  <c r="N13" i="25"/>
  <c r="J10" i="22"/>
  <c r="J11" i="22"/>
  <c r="J14" i="22"/>
  <c r="J15" i="22"/>
  <c r="J16" i="22"/>
  <c r="J18" i="22"/>
  <c r="J19" i="22"/>
  <c r="J21" i="22"/>
  <c r="J22" i="22"/>
  <c r="T11" i="22"/>
  <c r="T14" i="22"/>
  <c r="T16" i="22"/>
  <c r="T20" i="22"/>
  <c r="T22" i="22"/>
  <c r="R11" i="22"/>
  <c r="O13" i="22"/>
  <c r="N18" i="22"/>
  <c r="P11" i="22"/>
  <c r="O14" i="22"/>
  <c r="H11" i="22"/>
  <c r="H14" i="22"/>
  <c r="H18" i="22"/>
  <c r="N13" i="22"/>
  <c r="D121" i="15"/>
  <c r="D143" i="15" s="1"/>
  <c r="D122" i="15"/>
  <c r="D124" i="15" s="1"/>
  <c r="D142" i="15"/>
  <c r="D146" i="15" s="1"/>
  <c r="D137" i="15"/>
  <c r="D112" i="15"/>
  <c r="D133" i="15"/>
  <c r="D111" i="15"/>
  <c r="D130" i="15" s="1"/>
  <c r="D144" i="15"/>
  <c r="J14" i="25" l="1"/>
  <c r="O18" i="22"/>
  <c r="P18" i="22" s="1"/>
  <c r="E54" i="25"/>
  <c r="E57" i="25" s="1"/>
  <c r="E58" i="25" s="1"/>
  <c r="D59" i="25" s="1"/>
  <c r="P14" i="22"/>
  <c r="H20" i="22"/>
  <c r="P14" i="25"/>
  <c r="L24" i="25"/>
  <c r="P20" i="25"/>
  <c r="E52" i="29"/>
  <c r="E55" i="29" s="1"/>
  <c r="E56" i="29" s="1"/>
  <c r="D57" i="29" s="1"/>
  <c r="D58" i="29" s="1"/>
  <c r="O20" i="22"/>
  <c r="P20" i="22" s="1"/>
  <c r="J16" i="25"/>
  <c r="R24" i="25"/>
  <c r="J20" i="25"/>
  <c r="H30" i="25"/>
  <c r="N14" i="22"/>
  <c r="J20" i="22"/>
  <c r="O22" i="22"/>
  <c r="P22" i="22" s="1"/>
  <c r="H16" i="22"/>
  <c r="D52" i="22"/>
  <c r="D55" i="22" s="1"/>
  <c r="E52" i="22"/>
  <c r="O16" i="22"/>
  <c r="P16" i="22" s="1"/>
  <c r="D86" i="22"/>
  <c r="D87" i="22" s="1"/>
  <c r="D88" i="22" s="1"/>
  <c r="G19" i="22" s="1"/>
  <c r="H19" i="22" s="1"/>
  <c r="K24" i="22"/>
  <c r="H22" i="22"/>
  <c r="N22" i="22"/>
  <c r="N24" i="22" s="1"/>
  <c r="J13" i="25"/>
  <c r="N13" i="29"/>
  <c r="R22" i="22"/>
  <c r="R24" i="22" s="1"/>
  <c r="H22" i="29"/>
  <c r="N14" i="29"/>
  <c r="D74" i="29"/>
  <c r="D75" i="29" s="1"/>
  <c r="D76" i="29" s="1"/>
  <c r="G17" i="29" s="1"/>
  <c r="H17" i="29" s="1"/>
  <c r="K24" i="25"/>
  <c r="J11" i="25"/>
  <c r="D88" i="25"/>
  <c r="D89" i="25" s="1"/>
  <c r="D90" i="25" s="1"/>
  <c r="J13" i="22"/>
  <c r="J24" i="22" s="1"/>
  <c r="C70" i="21"/>
  <c r="D67" i="22"/>
  <c r="D72" i="22" s="1"/>
  <c r="D73" i="22" s="1"/>
  <c r="P13" i="22"/>
  <c r="P24" i="22" s="1"/>
  <c r="L24" i="22"/>
  <c r="N11" i="25"/>
  <c r="N24" i="25" s="1"/>
  <c r="C70" i="24"/>
  <c r="D69" i="25"/>
  <c r="D74" i="25" s="1"/>
  <c r="D75" i="25" s="1"/>
  <c r="P14" i="29"/>
  <c r="P16" i="29"/>
  <c r="H11" i="29"/>
  <c r="P18" i="29"/>
  <c r="P20" i="29"/>
  <c r="P11" i="29"/>
  <c r="P13" i="29"/>
  <c r="J17" i="29"/>
  <c r="J15" i="29"/>
  <c r="J12" i="29"/>
  <c r="K24" i="29"/>
  <c r="R18" i="29"/>
  <c r="R22" i="29"/>
  <c r="N18" i="29"/>
  <c r="J16" i="29"/>
  <c r="H16" i="29"/>
  <c r="T24" i="29"/>
  <c r="T27" i="29" s="1"/>
  <c r="L24" i="29"/>
  <c r="J20" i="29"/>
  <c r="H20" i="29"/>
  <c r="P11" i="25"/>
  <c r="T11" i="25"/>
  <c r="T24" i="25" s="1"/>
  <c r="S24" i="25" s="1"/>
  <c r="Q24" i="25"/>
  <c r="R28" i="25"/>
  <c r="R27" i="25"/>
  <c r="T24" i="22"/>
  <c r="D56" i="15"/>
  <c r="D114" i="15"/>
  <c r="D152" i="15"/>
  <c r="D145" i="15"/>
  <c r="D151" i="15" s="1"/>
  <c r="D153" i="15"/>
  <c r="D60" i="25" l="1"/>
  <c r="G10" i="25"/>
  <c r="H10" i="25" s="1"/>
  <c r="H34" i="25" s="1"/>
  <c r="T28" i="25"/>
  <c r="J24" i="25"/>
  <c r="J27" i="25" s="1"/>
  <c r="N24" i="29"/>
  <c r="N28" i="29" s="1"/>
  <c r="P24" i="25"/>
  <c r="P28" i="25" s="1"/>
  <c r="E55" i="22"/>
  <c r="E56" i="22" s="1"/>
  <c r="D57" i="22" s="1"/>
  <c r="T27" i="25"/>
  <c r="H30" i="29"/>
  <c r="Q24" i="22"/>
  <c r="Q28" i="22" s="1"/>
  <c r="D56" i="22"/>
  <c r="R27" i="22"/>
  <c r="R28" i="22"/>
  <c r="D91" i="25"/>
  <c r="G19" i="25"/>
  <c r="H19" i="25" s="1"/>
  <c r="D89" i="22"/>
  <c r="G17" i="22"/>
  <c r="H17" i="22" s="1"/>
  <c r="G15" i="22"/>
  <c r="H15" i="22" s="1"/>
  <c r="G12" i="22"/>
  <c r="H12" i="22" s="1"/>
  <c r="G21" i="22"/>
  <c r="H21" i="22" s="1"/>
  <c r="G15" i="25"/>
  <c r="H15" i="25" s="1"/>
  <c r="G12" i="25"/>
  <c r="H12" i="25" s="1"/>
  <c r="G21" i="25"/>
  <c r="H21" i="25" s="1"/>
  <c r="G17" i="25"/>
  <c r="H17" i="25" s="1"/>
  <c r="G12" i="29"/>
  <c r="H12" i="29" s="1"/>
  <c r="S24" i="29"/>
  <c r="S28" i="29" s="1"/>
  <c r="D77" i="29"/>
  <c r="G21" i="29"/>
  <c r="H21" i="29" s="1"/>
  <c r="P24" i="29"/>
  <c r="P27" i="29" s="1"/>
  <c r="G15" i="29"/>
  <c r="H15" i="29" s="1"/>
  <c r="G19" i="29"/>
  <c r="H19" i="29" s="1"/>
  <c r="J24" i="29"/>
  <c r="J28" i="29" s="1"/>
  <c r="R24" i="29"/>
  <c r="R28" i="29" s="1"/>
  <c r="T28" i="29"/>
  <c r="G10" i="29"/>
  <c r="H10" i="29" s="1"/>
  <c r="H34" i="29" s="1"/>
  <c r="J28" i="25"/>
  <c r="F138" i="26" s="1"/>
  <c r="H138" i="26" s="1"/>
  <c r="O24" i="25"/>
  <c r="P27" i="25"/>
  <c r="S28" i="25"/>
  <c r="S27" i="25"/>
  <c r="Q28" i="25"/>
  <c r="Q27" i="25"/>
  <c r="M24" i="25"/>
  <c r="N28" i="25"/>
  <c r="N27" i="25"/>
  <c r="J28" i="22"/>
  <c r="J27" i="22"/>
  <c r="S24" i="22"/>
  <c r="T28" i="22"/>
  <c r="T27" i="22"/>
  <c r="M24" i="22"/>
  <c r="N28" i="22"/>
  <c r="N27" i="22"/>
  <c r="O24" i="22"/>
  <c r="P28" i="22"/>
  <c r="P27" i="22"/>
  <c r="Q27" i="22"/>
  <c r="D154" i="15"/>
  <c r="D155" i="15" s="1"/>
  <c r="D156" i="15" s="1"/>
  <c r="D40" i="26" l="1"/>
  <c r="H40" i="26" s="1"/>
  <c r="N27" i="29"/>
  <c r="M24" i="29"/>
  <c r="M28" i="29" s="1"/>
  <c r="H32" i="29"/>
  <c r="D58" i="22"/>
  <c r="H32" i="25"/>
  <c r="D40" i="23"/>
  <c r="H40" i="23" s="1"/>
  <c r="G10" i="22"/>
  <c r="H10" i="22" s="1"/>
  <c r="F138" i="23"/>
  <c r="H138" i="23" s="1"/>
  <c r="P28" i="29"/>
  <c r="S27" i="29"/>
  <c r="F134" i="30" s="1"/>
  <c r="H134" i="30" s="1"/>
  <c r="H24" i="25"/>
  <c r="H28" i="25" s="1"/>
  <c r="F87" i="26"/>
  <c r="H87" i="26" s="1"/>
  <c r="F134" i="26"/>
  <c r="H134" i="26" s="1"/>
  <c r="R27" i="29"/>
  <c r="H24" i="29"/>
  <c r="H28" i="29" s="1"/>
  <c r="O24" i="29"/>
  <c r="O28" i="29" s="1"/>
  <c r="Q24" i="29"/>
  <c r="Q28" i="29" s="1"/>
  <c r="J27" i="29"/>
  <c r="F138" i="30" s="1"/>
  <c r="H138" i="30" s="1"/>
  <c r="M27" i="29"/>
  <c r="M28" i="25"/>
  <c r="M27" i="25"/>
  <c r="O28" i="25"/>
  <c r="O27" i="25"/>
  <c r="F86" i="26" s="1"/>
  <c r="H86" i="26" s="1"/>
  <c r="M28" i="22"/>
  <c r="M27" i="22"/>
  <c r="O28" i="22"/>
  <c r="O27" i="22"/>
  <c r="F86" i="23" s="1"/>
  <c r="H86" i="23" s="1"/>
  <c r="S28" i="22"/>
  <c r="S27" i="22"/>
  <c r="D159" i="15"/>
  <c r="D161" i="15" s="1"/>
  <c r="G12" i="15" s="1"/>
  <c r="H24" i="22" l="1"/>
  <c r="H28" i="22" s="1"/>
  <c r="D39" i="30"/>
  <c r="H39" i="30" s="1"/>
  <c r="D39" i="26"/>
  <c r="H39" i="26" s="1"/>
  <c r="H47" i="26" s="1"/>
  <c r="D47" i="26" s="1"/>
  <c r="D39" i="23"/>
  <c r="H39" i="23" s="1"/>
  <c r="H47" i="23" s="1"/>
  <c r="D47" i="23" s="1"/>
  <c r="H27" i="25"/>
  <c r="F87" i="30"/>
  <c r="H87" i="30" s="1"/>
  <c r="F87" i="23"/>
  <c r="H87" i="23" s="1"/>
  <c r="H94" i="23" s="1"/>
  <c r="F94" i="23" s="1"/>
  <c r="F134" i="23"/>
  <c r="H134" i="23" s="1"/>
  <c r="H94" i="26"/>
  <c r="F94" i="26" s="1"/>
  <c r="Q27" i="29"/>
  <c r="D40" i="30" s="1"/>
  <c r="H40" i="30" s="1"/>
  <c r="O27" i="29"/>
  <c r="F86" i="30" s="1"/>
  <c r="H86" i="30" s="1"/>
  <c r="H27" i="29"/>
  <c r="G17" i="15"/>
  <c r="G21" i="15"/>
  <c r="G15" i="15"/>
  <c r="H27" i="22" l="1"/>
  <c r="F135" i="23" s="1"/>
  <c r="H135" i="23" s="1"/>
  <c r="H141" i="23" s="1"/>
  <c r="F141" i="23" s="1"/>
  <c r="F135" i="30"/>
  <c r="H135" i="30" s="1"/>
  <c r="H141" i="30" s="1"/>
  <c r="F141" i="30" s="1"/>
  <c r="H94" i="30"/>
  <c r="F94" i="30" s="1"/>
  <c r="H47" i="30"/>
  <c r="D47" i="30" s="1"/>
  <c r="F135" i="26"/>
  <c r="H135" i="26" s="1"/>
  <c r="H141" i="26" s="1"/>
  <c r="F141" i="26" s="1"/>
  <c r="E85" i="15"/>
  <c r="D85" i="15"/>
  <c r="C85" i="15"/>
  <c r="E84" i="15"/>
  <c r="D84" i="15"/>
  <c r="C84" i="15"/>
  <c r="E82" i="15"/>
  <c r="C82" i="15"/>
  <c r="E81" i="15"/>
  <c r="D81" i="15"/>
  <c r="C81" i="15"/>
  <c r="C80" i="15"/>
  <c r="E79" i="15"/>
  <c r="D79" i="15"/>
  <c r="C79" i="15"/>
  <c r="E69" i="15"/>
  <c r="D69" i="15"/>
  <c r="C69" i="15"/>
  <c r="E68" i="15"/>
  <c r="D68" i="15"/>
  <c r="C68" i="15"/>
  <c r="E66" i="15"/>
  <c r="C66" i="15"/>
  <c r="E64" i="15"/>
  <c r="D64" i="15"/>
  <c r="C64" i="15"/>
  <c r="E60" i="15"/>
  <c r="D60" i="15"/>
  <c r="Q22" i="15"/>
  <c r="S22" i="15" s="1"/>
  <c r="G22" i="15"/>
  <c r="M22" i="15" s="1"/>
  <c r="E22" i="15"/>
  <c r="F22" i="15" s="1"/>
  <c r="C22" i="15"/>
  <c r="C21" i="15"/>
  <c r="Q20" i="15"/>
  <c r="S20" i="15" s="1"/>
  <c r="G20" i="15"/>
  <c r="M20" i="15" s="1"/>
  <c r="E20" i="15"/>
  <c r="K20" i="15" s="1"/>
  <c r="C20" i="15"/>
  <c r="C19" i="15"/>
  <c r="Q18" i="15"/>
  <c r="S18" i="15" s="1"/>
  <c r="G18" i="15"/>
  <c r="M18" i="15" s="1"/>
  <c r="E18" i="15"/>
  <c r="F18" i="15" s="1"/>
  <c r="C18" i="15"/>
  <c r="C17" i="15"/>
  <c r="Q16" i="15"/>
  <c r="S16" i="15" s="1"/>
  <c r="G16" i="15"/>
  <c r="M16" i="15" s="1"/>
  <c r="E16" i="15"/>
  <c r="F16" i="15" s="1"/>
  <c r="C16" i="15"/>
  <c r="C15" i="15"/>
  <c r="Q14" i="15"/>
  <c r="S14" i="15" s="1"/>
  <c r="G14" i="15"/>
  <c r="M14" i="15" s="1"/>
  <c r="E14" i="15"/>
  <c r="L14" i="15" s="1"/>
  <c r="C14" i="15"/>
  <c r="Q13" i="15"/>
  <c r="S13" i="15" s="1"/>
  <c r="G13" i="15"/>
  <c r="E13" i="15"/>
  <c r="K13" i="15" s="1"/>
  <c r="C13" i="15"/>
  <c r="C12" i="15"/>
  <c r="Q11" i="15"/>
  <c r="S11" i="15" s="1"/>
  <c r="G11" i="15"/>
  <c r="M11" i="15" s="1"/>
  <c r="E11" i="15"/>
  <c r="K11" i="15" s="1"/>
  <c r="C11" i="15"/>
  <c r="E10" i="15"/>
  <c r="C10" i="15"/>
  <c r="C9" i="15"/>
  <c r="C8" i="15"/>
  <c r="D28" i="15"/>
  <c r="C28" i="15"/>
  <c r="D27" i="15"/>
  <c r="C27" i="15"/>
  <c r="D26" i="15"/>
  <c r="C26" i="15"/>
  <c r="I22" i="15"/>
  <c r="I21" i="15"/>
  <c r="I20" i="15"/>
  <c r="I19" i="15"/>
  <c r="I18" i="15"/>
  <c r="I17" i="15"/>
  <c r="I16" i="15"/>
  <c r="I15" i="15"/>
  <c r="I14" i="15"/>
  <c r="I13" i="15"/>
  <c r="I12" i="15"/>
  <c r="I11" i="15"/>
  <c r="I10" i="15"/>
  <c r="T7" i="15"/>
  <c r="S7" i="15"/>
  <c r="R7" i="15"/>
  <c r="Q7" i="15"/>
  <c r="P7" i="15"/>
  <c r="O7" i="15"/>
  <c r="N7" i="15"/>
  <c r="M7" i="15"/>
  <c r="L7" i="15"/>
  <c r="K7" i="15"/>
  <c r="J7" i="15"/>
  <c r="I7" i="15"/>
  <c r="H7" i="15"/>
  <c r="G7" i="15"/>
  <c r="F7" i="15"/>
  <c r="E7" i="15"/>
  <c r="D7" i="15"/>
  <c r="C7" i="15"/>
  <c r="S6" i="15"/>
  <c r="Q6" i="15"/>
  <c r="O6" i="15"/>
  <c r="M6" i="15"/>
  <c r="K6" i="15"/>
  <c r="I6" i="15"/>
  <c r="G6" i="15"/>
  <c r="D6" i="15"/>
  <c r="S5" i="15"/>
  <c r="Q5" i="15"/>
  <c r="O5" i="15"/>
  <c r="M5" i="15"/>
  <c r="K5" i="15"/>
  <c r="G8" i="14"/>
  <c r="E8" i="15" s="1"/>
  <c r="F8" i="15" s="1"/>
  <c r="C88" i="14"/>
  <c r="B88" i="14" s="1"/>
  <c r="C83" i="15" s="1"/>
  <c r="C85" i="14"/>
  <c r="D80" i="15" s="1"/>
  <c r="C80" i="14"/>
  <c r="E78" i="15" s="1"/>
  <c r="C72" i="14"/>
  <c r="B72" i="14" s="1"/>
  <c r="C65" i="15" s="1"/>
  <c r="E34" i="14"/>
  <c r="G21" i="14"/>
  <c r="E21" i="15" s="1"/>
  <c r="E21" i="14"/>
  <c r="G19" i="14"/>
  <c r="E19" i="15" s="1"/>
  <c r="G17" i="14"/>
  <c r="E17" i="15" s="1"/>
  <c r="E17" i="14"/>
  <c r="G15" i="14"/>
  <c r="E15" i="15" s="1"/>
  <c r="E15" i="14"/>
  <c r="G12" i="14"/>
  <c r="E12" i="15" s="1"/>
  <c r="B54" i="7"/>
  <c r="B101" i="7"/>
  <c r="B9" i="7"/>
  <c r="B103" i="13"/>
  <c r="B56" i="13"/>
  <c r="B9" i="13"/>
  <c r="B134" i="13"/>
  <c r="B135" i="13"/>
  <c r="B136" i="13"/>
  <c r="B137" i="13"/>
  <c r="B138" i="13"/>
  <c r="B139" i="13"/>
  <c r="B140" i="13"/>
  <c r="B133" i="13"/>
  <c r="B122" i="13"/>
  <c r="B123" i="13"/>
  <c r="B124" i="13"/>
  <c r="B125" i="13"/>
  <c r="B126" i="13"/>
  <c r="B127" i="13"/>
  <c r="B128" i="13"/>
  <c r="B129" i="13"/>
  <c r="B130" i="13"/>
  <c r="B131" i="13"/>
  <c r="B132" i="13"/>
  <c r="B121" i="13"/>
  <c r="B106" i="13"/>
  <c r="B107" i="13"/>
  <c r="B108" i="13"/>
  <c r="B109" i="13"/>
  <c r="B110" i="13"/>
  <c r="B111" i="13"/>
  <c r="B112" i="13"/>
  <c r="B113" i="13"/>
  <c r="B114" i="13"/>
  <c r="B115" i="13"/>
  <c r="B116" i="13"/>
  <c r="B117" i="13"/>
  <c r="B118" i="13"/>
  <c r="B119" i="13"/>
  <c r="B120" i="13"/>
  <c r="B105" i="13"/>
  <c r="B87" i="13"/>
  <c r="B88" i="13"/>
  <c r="B89" i="13"/>
  <c r="B90" i="13"/>
  <c r="B91" i="13"/>
  <c r="B92" i="13"/>
  <c r="B93" i="13"/>
  <c r="B86" i="13"/>
  <c r="B75" i="13"/>
  <c r="B76" i="13"/>
  <c r="B77" i="13"/>
  <c r="B78" i="13"/>
  <c r="B79" i="13"/>
  <c r="B80" i="13"/>
  <c r="B81" i="13"/>
  <c r="B82" i="13"/>
  <c r="B83" i="13"/>
  <c r="B84" i="13"/>
  <c r="B85" i="13"/>
  <c r="B74" i="13"/>
  <c r="B59" i="13"/>
  <c r="B60" i="13"/>
  <c r="B61" i="13"/>
  <c r="B62" i="13"/>
  <c r="B63" i="13"/>
  <c r="B64" i="13"/>
  <c r="B65" i="13"/>
  <c r="B66" i="13"/>
  <c r="B67" i="13"/>
  <c r="B68" i="13"/>
  <c r="B69" i="13"/>
  <c r="B70" i="13"/>
  <c r="B71" i="13"/>
  <c r="B72" i="13"/>
  <c r="B73" i="13"/>
  <c r="B58" i="13"/>
  <c r="B40" i="13"/>
  <c r="B41" i="13"/>
  <c r="B42" i="13"/>
  <c r="B43" i="13"/>
  <c r="B44" i="13"/>
  <c r="B45" i="13"/>
  <c r="B46" i="13"/>
  <c r="B39" i="13"/>
  <c r="B28" i="13"/>
  <c r="B29" i="13"/>
  <c r="B30" i="13"/>
  <c r="B31" i="13"/>
  <c r="B32" i="13"/>
  <c r="B33" i="13"/>
  <c r="B34" i="13"/>
  <c r="B35" i="13"/>
  <c r="B36" i="13"/>
  <c r="B37" i="13"/>
  <c r="B38" i="13"/>
  <c r="B27" i="13"/>
  <c r="B12" i="13"/>
  <c r="B13" i="13"/>
  <c r="B14" i="13"/>
  <c r="B15" i="13"/>
  <c r="B16" i="13"/>
  <c r="B17" i="13"/>
  <c r="B18" i="13"/>
  <c r="B19" i="13"/>
  <c r="B20" i="13"/>
  <c r="B21" i="13"/>
  <c r="B22" i="13"/>
  <c r="B23" i="13"/>
  <c r="B24" i="13"/>
  <c r="B25" i="13"/>
  <c r="B26" i="13"/>
  <c r="B11" i="13"/>
  <c r="B85" i="7"/>
  <c r="B86" i="7"/>
  <c r="B87" i="7"/>
  <c r="B88" i="7"/>
  <c r="B89" i="7"/>
  <c r="B90" i="7"/>
  <c r="B91" i="7"/>
  <c r="B84" i="7"/>
  <c r="B73" i="7"/>
  <c r="B74" i="7"/>
  <c r="B75" i="7"/>
  <c r="B76" i="7"/>
  <c r="B77" i="7"/>
  <c r="B78" i="7"/>
  <c r="B79" i="7"/>
  <c r="B80" i="7"/>
  <c r="B81" i="7"/>
  <c r="B82" i="7"/>
  <c r="B83" i="7"/>
  <c r="B72" i="7"/>
  <c r="B57" i="7"/>
  <c r="B58" i="7"/>
  <c r="B59" i="7"/>
  <c r="B60" i="7"/>
  <c r="B61" i="7"/>
  <c r="B62" i="7"/>
  <c r="B63" i="7"/>
  <c r="B64" i="7"/>
  <c r="B65" i="7"/>
  <c r="B66" i="7"/>
  <c r="B67" i="7"/>
  <c r="B68" i="7"/>
  <c r="B69" i="7"/>
  <c r="B70" i="7"/>
  <c r="B71" i="7"/>
  <c r="B56" i="7"/>
  <c r="B132" i="7"/>
  <c r="B133" i="7"/>
  <c r="B134" i="7"/>
  <c r="B135" i="7"/>
  <c r="B136" i="7"/>
  <c r="B137" i="7"/>
  <c r="B138" i="7"/>
  <c r="B131" i="7"/>
  <c r="B120" i="7"/>
  <c r="B121" i="7"/>
  <c r="B122" i="7"/>
  <c r="B123" i="7"/>
  <c r="B124" i="7"/>
  <c r="B125" i="7"/>
  <c r="B126" i="7"/>
  <c r="B127" i="7"/>
  <c r="B128" i="7"/>
  <c r="B129" i="7"/>
  <c r="B130" i="7"/>
  <c r="B119" i="7"/>
  <c r="B104" i="7"/>
  <c r="B105" i="7"/>
  <c r="B106" i="7"/>
  <c r="B107" i="7"/>
  <c r="B108" i="7"/>
  <c r="B109" i="7"/>
  <c r="B110" i="7"/>
  <c r="B111" i="7"/>
  <c r="B112" i="7"/>
  <c r="B113" i="7"/>
  <c r="B114" i="7"/>
  <c r="B115" i="7"/>
  <c r="B116" i="7"/>
  <c r="B117" i="7"/>
  <c r="B118" i="7"/>
  <c r="B103" i="7"/>
  <c r="B40" i="7"/>
  <c r="B41" i="7"/>
  <c r="B42" i="7"/>
  <c r="B43" i="7"/>
  <c r="B44" i="7"/>
  <c r="B45" i="7"/>
  <c r="B46" i="7"/>
  <c r="B39" i="7"/>
  <c r="B28" i="7"/>
  <c r="B29" i="7"/>
  <c r="B30" i="7"/>
  <c r="B31" i="7"/>
  <c r="B32" i="7"/>
  <c r="B33" i="7"/>
  <c r="B34" i="7"/>
  <c r="B35" i="7"/>
  <c r="B36" i="7"/>
  <c r="B37" i="7"/>
  <c r="B38" i="7"/>
  <c r="B27" i="7"/>
  <c r="B12" i="7"/>
  <c r="B13" i="7"/>
  <c r="B14" i="7"/>
  <c r="B15" i="7"/>
  <c r="B16" i="7"/>
  <c r="B17" i="7"/>
  <c r="B18" i="7"/>
  <c r="B19" i="7"/>
  <c r="B20" i="7"/>
  <c r="B21" i="7"/>
  <c r="B22" i="7"/>
  <c r="B23" i="7"/>
  <c r="B24" i="7"/>
  <c r="B25" i="7"/>
  <c r="B26" i="7"/>
  <c r="B11" i="7"/>
  <c r="D119" i="13"/>
  <c r="D117" i="13"/>
  <c r="D115" i="13"/>
  <c r="D113" i="13"/>
  <c r="D111" i="13"/>
  <c r="D110" i="13"/>
  <c r="D108" i="13"/>
  <c r="D72" i="13"/>
  <c r="D70" i="13"/>
  <c r="D68" i="13"/>
  <c r="D66" i="13"/>
  <c r="D64" i="13"/>
  <c r="D63" i="13"/>
  <c r="D61" i="13"/>
  <c r="H140" i="13"/>
  <c r="F139" i="13"/>
  <c r="H139" i="13" s="1"/>
  <c r="F137" i="13"/>
  <c r="H137" i="13" s="1"/>
  <c r="H136" i="13"/>
  <c r="H133" i="13"/>
  <c r="F132" i="13"/>
  <c r="H132" i="13" s="1"/>
  <c r="F131" i="13"/>
  <c r="H131" i="13" s="1"/>
  <c r="F130" i="13"/>
  <c r="H130" i="13" s="1"/>
  <c r="F129" i="13"/>
  <c r="H129" i="13" s="1"/>
  <c r="F128" i="13"/>
  <c r="H128" i="13" s="1"/>
  <c r="F127" i="13"/>
  <c r="H127" i="13" s="1"/>
  <c r="F126" i="13"/>
  <c r="H126" i="13" s="1"/>
  <c r="F125" i="13"/>
  <c r="H125" i="13" s="1"/>
  <c r="F124" i="13"/>
  <c r="H124" i="13" s="1"/>
  <c r="H123" i="13"/>
  <c r="F122" i="13"/>
  <c r="H122" i="13" s="1"/>
  <c r="F121" i="13"/>
  <c r="H121" i="13" s="1"/>
  <c r="F120" i="13"/>
  <c r="H120" i="13" s="1"/>
  <c r="H119" i="13"/>
  <c r="H118" i="13"/>
  <c r="H117" i="13"/>
  <c r="H116" i="13"/>
  <c r="H115" i="13"/>
  <c r="H114" i="13"/>
  <c r="H113" i="13"/>
  <c r="H112" i="13"/>
  <c r="H111" i="13"/>
  <c r="H110" i="13"/>
  <c r="H109" i="13"/>
  <c r="H108" i="13"/>
  <c r="H107" i="13"/>
  <c r="H106" i="13"/>
  <c r="H105" i="13"/>
  <c r="D99" i="13"/>
  <c r="F93" i="13"/>
  <c r="H93" i="13" s="1"/>
  <c r="H92" i="13"/>
  <c r="H91" i="13"/>
  <c r="F90" i="13"/>
  <c r="H90" i="13" s="1"/>
  <c r="H89" i="13"/>
  <c r="H88" i="13"/>
  <c r="H85" i="13"/>
  <c r="F85" i="13"/>
  <c r="F84" i="13"/>
  <c r="H84" i="13" s="1"/>
  <c r="F83" i="13"/>
  <c r="H83" i="13" s="1"/>
  <c r="F82" i="13"/>
  <c r="H82" i="13" s="1"/>
  <c r="F81" i="13"/>
  <c r="H81" i="13" s="1"/>
  <c r="F80" i="13"/>
  <c r="H80" i="13" s="1"/>
  <c r="F79" i="13"/>
  <c r="H79" i="13" s="1"/>
  <c r="F78" i="13"/>
  <c r="H78" i="13" s="1"/>
  <c r="F77" i="13"/>
  <c r="H77" i="13" s="1"/>
  <c r="H76" i="13"/>
  <c r="F75" i="13"/>
  <c r="H75" i="13" s="1"/>
  <c r="F74" i="13"/>
  <c r="H74" i="13" s="1"/>
  <c r="F73" i="13"/>
  <c r="H73" i="13" s="1"/>
  <c r="H72" i="13"/>
  <c r="F71" i="13"/>
  <c r="H71" i="13" s="1"/>
  <c r="H70" i="13"/>
  <c r="F69" i="13"/>
  <c r="H69" i="13" s="1"/>
  <c r="H68" i="13"/>
  <c r="F67" i="13"/>
  <c r="H67" i="13" s="1"/>
  <c r="H66" i="13"/>
  <c r="F65" i="13"/>
  <c r="H65" i="13" s="1"/>
  <c r="H64" i="13"/>
  <c r="H63" i="13"/>
  <c r="F62" i="13"/>
  <c r="H62" i="13" s="1"/>
  <c r="F61" i="13"/>
  <c r="H61" i="13" s="1"/>
  <c r="F60" i="13"/>
  <c r="H60" i="13" s="1"/>
  <c r="F59" i="13"/>
  <c r="H59" i="13" s="1"/>
  <c r="H58" i="13"/>
  <c r="F58" i="13"/>
  <c r="D52" i="13"/>
  <c r="H46" i="13"/>
  <c r="H45" i="13"/>
  <c r="H44" i="13"/>
  <c r="D43" i="13"/>
  <c r="H43" i="13" s="1"/>
  <c r="D42" i="13"/>
  <c r="H42" i="13" s="1"/>
  <c r="H41" i="13"/>
  <c r="D38" i="13"/>
  <c r="H38" i="13" s="1"/>
  <c r="D37" i="13"/>
  <c r="H37" i="13" s="1"/>
  <c r="D36" i="13"/>
  <c r="H36" i="13" s="1"/>
  <c r="D35" i="13"/>
  <c r="H35" i="13" s="1"/>
  <c r="D34" i="13"/>
  <c r="H34" i="13" s="1"/>
  <c r="D33" i="13"/>
  <c r="H33" i="13" s="1"/>
  <c r="D32" i="13"/>
  <c r="H32" i="13" s="1"/>
  <c r="D31" i="13"/>
  <c r="H31" i="13" s="1"/>
  <c r="D30" i="13"/>
  <c r="H30" i="13" s="1"/>
  <c r="H29" i="13"/>
  <c r="D28" i="13"/>
  <c r="H28" i="13" s="1"/>
  <c r="D27" i="13"/>
  <c r="H27" i="13" s="1"/>
  <c r="D26" i="13"/>
  <c r="H26" i="13" s="1"/>
  <c r="H25" i="13"/>
  <c r="D24" i="13"/>
  <c r="H24" i="13" s="1"/>
  <c r="H23" i="13"/>
  <c r="D22" i="13"/>
  <c r="H22" i="13" s="1"/>
  <c r="H21" i="13"/>
  <c r="D20" i="13"/>
  <c r="H20" i="13" s="1"/>
  <c r="H19" i="13"/>
  <c r="D18" i="13"/>
  <c r="H18" i="13" s="1"/>
  <c r="H17" i="13"/>
  <c r="H16" i="13"/>
  <c r="D15" i="13"/>
  <c r="H15" i="13" s="1"/>
  <c r="D14" i="13"/>
  <c r="H14" i="13" s="1"/>
  <c r="D13" i="13"/>
  <c r="H13" i="13" s="1"/>
  <c r="D12" i="13"/>
  <c r="H12" i="13" s="1"/>
  <c r="D11" i="13"/>
  <c r="H11" i="13" s="1"/>
  <c r="D3" i="13"/>
  <c r="C106" i="11"/>
  <c r="G16" i="12"/>
  <c r="M16" i="12" s="1"/>
  <c r="E85" i="12"/>
  <c r="D85" i="12"/>
  <c r="C85" i="12"/>
  <c r="E84" i="12"/>
  <c r="D84" i="12"/>
  <c r="C84" i="12"/>
  <c r="E82" i="12"/>
  <c r="C82" i="12"/>
  <c r="E81" i="12"/>
  <c r="D81" i="12"/>
  <c r="C81" i="12"/>
  <c r="C80" i="12"/>
  <c r="E79" i="12"/>
  <c r="D79" i="12"/>
  <c r="C79" i="12"/>
  <c r="D71" i="12"/>
  <c r="C71" i="12"/>
  <c r="D70" i="12"/>
  <c r="C70" i="12"/>
  <c r="D69" i="12"/>
  <c r="C69" i="12"/>
  <c r="C67" i="12"/>
  <c r="D66" i="12"/>
  <c r="C66" i="12"/>
  <c r="C65" i="12"/>
  <c r="D64" i="12"/>
  <c r="C64" i="12"/>
  <c r="E54" i="12"/>
  <c r="D54" i="12"/>
  <c r="C54" i="12"/>
  <c r="E53" i="12"/>
  <c r="D53" i="12"/>
  <c r="C53" i="12"/>
  <c r="E51" i="12"/>
  <c r="C51" i="12"/>
  <c r="E49" i="12"/>
  <c r="D49" i="12"/>
  <c r="C49" i="12"/>
  <c r="E45" i="12"/>
  <c r="D45" i="12"/>
  <c r="Q22" i="12"/>
  <c r="S22" i="12" s="1"/>
  <c r="G22" i="12"/>
  <c r="M22" i="12" s="1"/>
  <c r="E22" i="12"/>
  <c r="K22" i="12" s="1"/>
  <c r="C22" i="12"/>
  <c r="C21" i="12"/>
  <c r="Q20" i="12"/>
  <c r="S20" i="12" s="1"/>
  <c r="G20" i="12"/>
  <c r="E20" i="12"/>
  <c r="F20" i="12" s="1"/>
  <c r="C20" i="12"/>
  <c r="C19" i="12"/>
  <c r="Q18" i="12"/>
  <c r="S18" i="12" s="1"/>
  <c r="G18" i="12"/>
  <c r="M18" i="12" s="1"/>
  <c r="E18" i="12"/>
  <c r="C18" i="12"/>
  <c r="C17" i="12"/>
  <c r="Q16" i="12"/>
  <c r="S16" i="12" s="1"/>
  <c r="E16" i="12"/>
  <c r="K16" i="12" s="1"/>
  <c r="C16" i="12"/>
  <c r="C15" i="12"/>
  <c r="Q14" i="12"/>
  <c r="S14" i="12" s="1"/>
  <c r="G14" i="12"/>
  <c r="M14" i="12" s="1"/>
  <c r="E14" i="12"/>
  <c r="K14" i="12" s="1"/>
  <c r="C14" i="12"/>
  <c r="Q13" i="12"/>
  <c r="S13" i="12" s="1"/>
  <c r="G13" i="12"/>
  <c r="O13" i="12" s="1"/>
  <c r="E13" i="12"/>
  <c r="F13" i="12" s="1"/>
  <c r="C13" i="12"/>
  <c r="C12" i="12"/>
  <c r="Q11" i="12"/>
  <c r="S11" i="12" s="1"/>
  <c r="G11" i="12"/>
  <c r="M11" i="12" s="1"/>
  <c r="E11" i="12"/>
  <c r="K11" i="12" s="1"/>
  <c r="C11" i="12"/>
  <c r="E10" i="12"/>
  <c r="C10" i="12"/>
  <c r="C9" i="12"/>
  <c r="C8" i="12"/>
  <c r="D28" i="12"/>
  <c r="C28" i="12"/>
  <c r="D27" i="12"/>
  <c r="C27" i="12"/>
  <c r="D26" i="12"/>
  <c r="C26" i="12"/>
  <c r="I22" i="12"/>
  <c r="F22" i="12"/>
  <c r="J22" i="12" s="1"/>
  <c r="I21" i="12"/>
  <c r="I20" i="12"/>
  <c r="M20" i="12"/>
  <c r="I19" i="12"/>
  <c r="I18" i="12"/>
  <c r="I17" i="12"/>
  <c r="I16" i="12"/>
  <c r="I15" i="12"/>
  <c r="I14" i="12"/>
  <c r="I13" i="12"/>
  <c r="I12" i="12"/>
  <c r="I11" i="12"/>
  <c r="I10" i="12"/>
  <c r="T7" i="12"/>
  <c r="S7" i="12"/>
  <c r="R7" i="12"/>
  <c r="Q7" i="12"/>
  <c r="P7" i="12"/>
  <c r="O7" i="12"/>
  <c r="N7" i="12"/>
  <c r="M7" i="12"/>
  <c r="L7" i="12"/>
  <c r="K7" i="12"/>
  <c r="J7" i="12"/>
  <c r="I7" i="12"/>
  <c r="H7" i="12"/>
  <c r="G7" i="12"/>
  <c r="F7" i="12"/>
  <c r="E7" i="12"/>
  <c r="D7" i="12"/>
  <c r="C7" i="12"/>
  <c r="S6" i="12"/>
  <c r="Q6" i="12"/>
  <c r="O6" i="12"/>
  <c r="M6" i="12"/>
  <c r="K6" i="12"/>
  <c r="I6" i="12"/>
  <c r="G6" i="12"/>
  <c r="D6" i="12"/>
  <c r="S5" i="12"/>
  <c r="Q5" i="12"/>
  <c r="O5" i="12"/>
  <c r="M5" i="12"/>
  <c r="K5" i="12"/>
  <c r="C87" i="11"/>
  <c r="D83" i="12" s="1"/>
  <c r="J20" i="12" l="1"/>
  <c r="D67" i="15"/>
  <c r="D70" i="15" s="1"/>
  <c r="D71" i="15" s="1"/>
  <c r="L18" i="12"/>
  <c r="K18" i="12"/>
  <c r="J13" i="12"/>
  <c r="J31" i="12" s="1"/>
  <c r="J8" i="15"/>
  <c r="J33" i="15" s="1"/>
  <c r="H8" i="15"/>
  <c r="H33" i="15" s="1"/>
  <c r="J18" i="15"/>
  <c r="J22" i="15"/>
  <c r="J16" i="15"/>
  <c r="D65" i="15"/>
  <c r="E67" i="15" s="1"/>
  <c r="D78" i="15"/>
  <c r="E80" i="15"/>
  <c r="E86" i="15" s="1"/>
  <c r="E87" i="15" s="1"/>
  <c r="D83" i="15"/>
  <c r="D86" i="15" s="1"/>
  <c r="D87" i="15" s="1"/>
  <c r="K14" i="15"/>
  <c r="R14" i="15" s="1"/>
  <c r="L11" i="15"/>
  <c r="T11" i="15" s="1"/>
  <c r="K16" i="15"/>
  <c r="R16" i="15" s="1"/>
  <c r="F11" i="15"/>
  <c r="J11" i="15" s="1"/>
  <c r="L20" i="15"/>
  <c r="T20" i="15" s="1"/>
  <c r="L18" i="15"/>
  <c r="T18" i="15" s="1"/>
  <c r="L22" i="15"/>
  <c r="T22" i="15" s="1"/>
  <c r="R20" i="15"/>
  <c r="F14" i="15"/>
  <c r="J14" i="15" s="1"/>
  <c r="K18" i="15"/>
  <c r="R18" i="15" s="1"/>
  <c r="K22" i="15"/>
  <c r="R22" i="15" s="1"/>
  <c r="L16" i="15"/>
  <c r="T16" i="15" s="1"/>
  <c r="F20" i="15"/>
  <c r="J20" i="15" s="1"/>
  <c r="F10" i="15"/>
  <c r="J10" i="15" s="1"/>
  <c r="J34" i="15" s="1"/>
  <c r="R13" i="15"/>
  <c r="F15" i="15"/>
  <c r="J15" i="15" s="1"/>
  <c r="F19" i="15"/>
  <c r="J19" i="15" s="1"/>
  <c r="F13" i="15"/>
  <c r="J13" i="15" s="1"/>
  <c r="J31" i="15" s="1"/>
  <c r="L13" i="15"/>
  <c r="T13" i="15" s="1"/>
  <c r="F17" i="15"/>
  <c r="J17" i="15" s="1"/>
  <c r="F21" i="15"/>
  <c r="J21" i="15" s="1"/>
  <c r="F12" i="15"/>
  <c r="J12" i="15" s="1"/>
  <c r="T14" i="15"/>
  <c r="N11" i="15"/>
  <c r="R11" i="15"/>
  <c r="O13" i="15"/>
  <c r="N20" i="15"/>
  <c r="O11" i="15"/>
  <c r="O14" i="15"/>
  <c r="P14" i="15" s="1"/>
  <c r="O16" i="15"/>
  <c r="O18" i="15"/>
  <c r="O20" i="15"/>
  <c r="O22" i="15"/>
  <c r="H16" i="15"/>
  <c r="H18" i="15"/>
  <c r="H22" i="15"/>
  <c r="N13" i="15"/>
  <c r="F18" i="12"/>
  <c r="J18" i="12" s="1"/>
  <c r="R16" i="12"/>
  <c r="R14" i="12"/>
  <c r="F11" i="12"/>
  <c r="J11" i="12" s="1"/>
  <c r="F16" i="12"/>
  <c r="J16" i="12" s="1"/>
  <c r="R18" i="12"/>
  <c r="F10" i="12"/>
  <c r="J10" i="12" s="1"/>
  <c r="J34" i="12" s="1"/>
  <c r="K13" i="12"/>
  <c r="R13" i="12" s="1"/>
  <c r="T18" i="12"/>
  <c r="F14" i="12"/>
  <c r="J14" i="12" s="1"/>
  <c r="L20" i="12"/>
  <c r="T20" i="12" s="1"/>
  <c r="R22" i="12"/>
  <c r="L13" i="12"/>
  <c r="P13" i="12" s="1"/>
  <c r="K20" i="12"/>
  <c r="R20" i="12" s="1"/>
  <c r="H13" i="12"/>
  <c r="H31" i="12" s="1"/>
  <c r="R11" i="12"/>
  <c r="N14" i="12"/>
  <c r="N22" i="12"/>
  <c r="N16" i="12"/>
  <c r="L16" i="12"/>
  <c r="T16" i="12" s="1"/>
  <c r="N11" i="12"/>
  <c r="L11" i="12"/>
  <c r="T11" i="12" s="1"/>
  <c r="L14" i="12"/>
  <c r="T14" i="12" s="1"/>
  <c r="L22" i="12"/>
  <c r="T22" i="12" s="1"/>
  <c r="O20" i="12"/>
  <c r="O22" i="12"/>
  <c r="O11" i="12"/>
  <c r="O16" i="12"/>
  <c r="O18" i="12"/>
  <c r="P18" i="12" s="1"/>
  <c r="H20" i="12"/>
  <c r="H22" i="12"/>
  <c r="O14" i="12"/>
  <c r="E70" i="15" l="1"/>
  <c r="E71" i="15" s="1"/>
  <c r="D72" i="15" s="1"/>
  <c r="D73" i="15" s="1"/>
  <c r="J30" i="12"/>
  <c r="J32" i="15"/>
  <c r="J30" i="15"/>
  <c r="N13" i="12"/>
  <c r="J24" i="15"/>
  <c r="J28" i="15" s="1"/>
  <c r="N14" i="15"/>
  <c r="N18" i="15"/>
  <c r="H11" i="15"/>
  <c r="H12" i="15"/>
  <c r="H15" i="15"/>
  <c r="P22" i="15"/>
  <c r="P20" i="15"/>
  <c r="H20" i="15"/>
  <c r="D88" i="15"/>
  <c r="G19" i="15" s="1"/>
  <c r="H19" i="15" s="1"/>
  <c r="N22" i="15"/>
  <c r="P13" i="15"/>
  <c r="P11" i="15"/>
  <c r="P18" i="15"/>
  <c r="H14" i="15"/>
  <c r="L24" i="15"/>
  <c r="H21" i="15"/>
  <c r="P16" i="15"/>
  <c r="K24" i="15"/>
  <c r="N16" i="15"/>
  <c r="H13" i="15"/>
  <c r="H31" i="15" s="1"/>
  <c r="R24" i="15"/>
  <c r="R28" i="15" s="1"/>
  <c r="H17" i="15"/>
  <c r="T24" i="15"/>
  <c r="T27" i="15" s="1"/>
  <c r="R24" i="12"/>
  <c r="R28" i="12" s="1"/>
  <c r="H18" i="12"/>
  <c r="H11" i="12"/>
  <c r="P14" i="12"/>
  <c r="H16" i="12"/>
  <c r="P16" i="12"/>
  <c r="H14" i="12"/>
  <c r="P11" i="12"/>
  <c r="T13" i="12"/>
  <c r="T24" i="12" s="1"/>
  <c r="N18" i="12"/>
  <c r="K24" i="12"/>
  <c r="P20" i="12"/>
  <c r="N20" i="12"/>
  <c r="P22" i="12"/>
  <c r="L24" i="12"/>
  <c r="H30" i="15" l="1"/>
  <c r="H30" i="12"/>
  <c r="H32" i="15"/>
  <c r="P24" i="12"/>
  <c r="P27" i="12" s="1"/>
  <c r="R27" i="12"/>
  <c r="Q24" i="12"/>
  <c r="Q27" i="12" s="1"/>
  <c r="G10" i="15"/>
  <c r="H10" i="15" s="1"/>
  <c r="D89" i="15"/>
  <c r="J27" i="15"/>
  <c r="F138" i="16" s="1"/>
  <c r="H138" i="16" s="1"/>
  <c r="N24" i="15"/>
  <c r="N27" i="15" s="1"/>
  <c r="P24" i="15"/>
  <c r="O24" i="15" s="1"/>
  <c r="S24" i="15"/>
  <c r="S27" i="15" s="1"/>
  <c r="Q24" i="15"/>
  <c r="Q28" i="15" s="1"/>
  <c r="R27" i="15"/>
  <c r="T28" i="15"/>
  <c r="N24" i="12"/>
  <c r="N27" i="12" s="1"/>
  <c r="T28" i="12"/>
  <c r="T27" i="12"/>
  <c r="S24" i="12"/>
  <c r="N28" i="12" l="1"/>
  <c r="O24" i="12"/>
  <c r="O28" i="12" s="1"/>
  <c r="H24" i="15"/>
  <c r="H27" i="15" s="1"/>
  <c r="H34" i="15"/>
  <c r="P28" i="12"/>
  <c r="Q28" i="12"/>
  <c r="D40" i="13" s="1"/>
  <c r="H40" i="13" s="1"/>
  <c r="M24" i="12"/>
  <c r="M28" i="12" s="1"/>
  <c r="F87" i="16"/>
  <c r="H87" i="16" s="1"/>
  <c r="M24" i="15"/>
  <c r="M28" i="15" s="1"/>
  <c r="P27" i="15"/>
  <c r="S28" i="15"/>
  <c r="F134" i="16" s="1"/>
  <c r="H134" i="16" s="1"/>
  <c r="N28" i="15"/>
  <c r="P28" i="15"/>
  <c r="Q27" i="15"/>
  <c r="D40" i="16" s="1"/>
  <c r="H40" i="16" s="1"/>
  <c r="O28" i="15"/>
  <c r="O27" i="15"/>
  <c r="F86" i="16" s="1"/>
  <c r="H86" i="16" s="1"/>
  <c r="S28" i="12"/>
  <c r="S27" i="12"/>
  <c r="M27" i="12" l="1"/>
  <c r="D39" i="13" s="1"/>
  <c r="H39" i="13" s="1"/>
  <c r="H47" i="13" s="1"/>
  <c r="D47" i="13" s="1"/>
  <c r="O27" i="12"/>
  <c r="F86" i="13" s="1"/>
  <c r="H86" i="13" s="1"/>
  <c r="H28" i="15"/>
  <c r="H94" i="16"/>
  <c r="F94" i="16" s="1"/>
  <c r="F135" i="16"/>
  <c r="H135" i="16" s="1"/>
  <c r="H141" i="16" s="1"/>
  <c r="F141" i="16" s="1"/>
  <c r="M27" i="15"/>
  <c r="D39" i="16" s="1"/>
  <c r="H39" i="16" s="1"/>
  <c r="H47" i="16" s="1"/>
  <c r="D47" i="16" s="1"/>
  <c r="F134" i="13"/>
  <c r="H134" i="13" s="1"/>
  <c r="F87" i="13"/>
  <c r="H87" i="13" s="1"/>
  <c r="H94" i="13" l="1"/>
  <c r="F94" i="13" s="1"/>
  <c r="C108" i="11"/>
  <c r="C107" i="11"/>
  <c r="C105" i="11"/>
  <c r="C104" i="11"/>
  <c r="B87" i="11"/>
  <c r="C83" i="12" s="1"/>
  <c r="C84" i="11"/>
  <c r="C79" i="11"/>
  <c r="C71" i="11"/>
  <c r="C68" i="11"/>
  <c r="D65" i="12" s="1"/>
  <c r="C57" i="11"/>
  <c r="D50" i="12" s="1"/>
  <c r="E34" i="11"/>
  <c r="G21" i="11"/>
  <c r="E21" i="12" s="1"/>
  <c r="F21" i="12" s="1"/>
  <c r="J21" i="12" s="1"/>
  <c r="E21" i="11"/>
  <c r="G19" i="11"/>
  <c r="E19" i="12" s="1"/>
  <c r="F19" i="12" s="1"/>
  <c r="J19" i="12" s="1"/>
  <c r="G17" i="11"/>
  <c r="E17" i="12" s="1"/>
  <c r="F17" i="12" s="1"/>
  <c r="J17" i="12" s="1"/>
  <c r="E17" i="11"/>
  <c r="G15" i="11"/>
  <c r="E15" i="12" s="1"/>
  <c r="F15" i="12" s="1"/>
  <c r="J15" i="12" s="1"/>
  <c r="E15" i="11"/>
  <c r="G12" i="11"/>
  <c r="E12" i="12" s="1"/>
  <c r="F12" i="12" s="1"/>
  <c r="J12" i="12" s="1"/>
  <c r="J32" i="12" l="1"/>
  <c r="D52" i="12"/>
  <c r="D55" i="12" s="1"/>
  <c r="D56" i="12" s="1"/>
  <c r="E52" i="12"/>
  <c r="E55" i="12" s="1"/>
  <c r="E56" i="12" s="1"/>
  <c r="J57" i="12"/>
  <c r="J58" i="12" s="1"/>
  <c r="D68" i="12"/>
  <c r="B71" i="11"/>
  <c r="C68" i="12" s="1"/>
  <c r="E78" i="12"/>
  <c r="D78" i="12"/>
  <c r="B57" i="11"/>
  <c r="C50" i="12" s="1"/>
  <c r="D80" i="12"/>
  <c r="D86" i="12" s="1"/>
  <c r="D87" i="12" s="1"/>
  <c r="E80" i="12"/>
  <c r="E86" i="12" s="1"/>
  <c r="E87" i="12" s="1"/>
  <c r="J24" i="12"/>
  <c r="C109" i="11"/>
  <c r="C71" i="10"/>
  <c r="B71" i="10" s="1"/>
  <c r="G12" i="10"/>
  <c r="E17" i="10"/>
  <c r="D57" i="12" l="1"/>
  <c r="J28" i="12"/>
  <c r="J27" i="12"/>
  <c r="F138" i="13" s="1"/>
  <c r="H138" i="13" s="1"/>
  <c r="D88" i="12"/>
  <c r="C70" i="11"/>
  <c r="D67" i="12"/>
  <c r="D72" i="12" s="1"/>
  <c r="D73" i="12" s="1"/>
  <c r="M5" i="8"/>
  <c r="O5" i="8"/>
  <c r="Q5" i="8"/>
  <c r="S5" i="8"/>
  <c r="K5" i="8"/>
  <c r="C27" i="8"/>
  <c r="D27" i="8"/>
  <c r="C28" i="8"/>
  <c r="D28" i="8"/>
  <c r="D26" i="8"/>
  <c r="C26" i="8"/>
  <c r="D58" i="12" l="1"/>
  <c r="G10" i="12"/>
  <c r="H10" i="12" s="1"/>
  <c r="H34" i="12" s="1"/>
  <c r="G19" i="12"/>
  <c r="H19" i="12" s="1"/>
  <c r="D89" i="12"/>
  <c r="G17" i="12"/>
  <c r="H17" i="12" s="1"/>
  <c r="G15" i="12"/>
  <c r="H15" i="12" s="1"/>
  <c r="G12" i="12"/>
  <c r="H12" i="12" s="1"/>
  <c r="G21" i="12"/>
  <c r="H21" i="12" s="1"/>
  <c r="Q22" i="8"/>
  <c r="Q20" i="8"/>
  <c r="Q18" i="8"/>
  <c r="Q16" i="8"/>
  <c r="Q14" i="8"/>
  <c r="S14" i="8" s="1"/>
  <c r="Q13" i="8"/>
  <c r="S13" i="8" s="1"/>
  <c r="Q11" i="8"/>
  <c r="S11" i="8" s="1"/>
  <c r="C57" i="10"/>
  <c r="D50" i="8" s="1"/>
  <c r="C87" i="10"/>
  <c r="D83" i="8" s="1"/>
  <c r="E21" i="10"/>
  <c r="E15" i="10"/>
  <c r="D70" i="7"/>
  <c r="D68" i="7"/>
  <c r="D66" i="7"/>
  <c r="D64" i="7"/>
  <c r="D62" i="7"/>
  <c r="D61" i="7"/>
  <c r="D59" i="7"/>
  <c r="D117" i="7"/>
  <c r="D115" i="7"/>
  <c r="D113" i="7"/>
  <c r="D111" i="7"/>
  <c r="D109" i="7"/>
  <c r="D108" i="7"/>
  <c r="D106" i="7"/>
  <c r="D27" i="7"/>
  <c r="D28" i="7"/>
  <c r="D32" i="7"/>
  <c r="D6" i="8"/>
  <c r="I6" i="8"/>
  <c r="K6" i="8"/>
  <c r="M6" i="8"/>
  <c r="O6" i="8"/>
  <c r="Q6" i="8"/>
  <c r="S6" i="8"/>
  <c r="G6" i="8"/>
  <c r="D7" i="8"/>
  <c r="E7" i="8"/>
  <c r="F7" i="8"/>
  <c r="G7" i="8"/>
  <c r="H7" i="8"/>
  <c r="I7" i="8"/>
  <c r="J7" i="8"/>
  <c r="K7" i="8"/>
  <c r="L7" i="8"/>
  <c r="M7" i="8"/>
  <c r="N7" i="8"/>
  <c r="O7" i="8"/>
  <c r="P7" i="8"/>
  <c r="Q7" i="8"/>
  <c r="R7" i="8"/>
  <c r="S7" i="8"/>
  <c r="T7" i="8"/>
  <c r="C7" i="8"/>
  <c r="C108" i="10"/>
  <c r="C107" i="10"/>
  <c r="C106" i="10"/>
  <c r="C105" i="10"/>
  <c r="C104" i="10"/>
  <c r="E81" i="8"/>
  <c r="E82" i="8"/>
  <c r="E84" i="8"/>
  <c r="E85" i="8"/>
  <c r="E79" i="8"/>
  <c r="D81" i="8"/>
  <c r="D84" i="8"/>
  <c r="D85" i="8"/>
  <c r="D79" i="8"/>
  <c r="C80" i="8"/>
  <c r="C81" i="8"/>
  <c r="C82" i="8"/>
  <c r="C84" i="8"/>
  <c r="C85" i="8"/>
  <c r="C79" i="8"/>
  <c r="C79" i="10"/>
  <c r="E78" i="8" s="1"/>
  <c r="C84" i="10"/>
  <c r="E80" i="8" s="1"/>
  <c r="E16" i="8"/>
  <c r="K16" i="8" s="1"/>
  <c r="E18" i="8"/>
  <c r="E20" i="8"/>
  <c r="L20" i="8" s="1"/>
  <c r="E22" i="8"/>
  <c r="K22" i="8" s="1"/>
  <c r="E14" i="8"/>
  <c r="K14" i="8" s="1"/>
  <c r="E13" i="8"/>
  <c r="K13" i="8" s="1"/>
  <c r="R13" i="8" s="1"/>
  <c r="E12" i="8"/>
  <c r="E11" i="8"/>
  <c r="G19" i="10"/>
  <c r="E19" i="8" s="1"/>
  <c r="G21" i="10"/>
  <c r="E21" i="8" s="1"/>
  <c r="G17" i="10"/>
  <c r="E17" i="8" s="1"/>
  <c r="G15" i="10"/>
  <c r="E15" i="8" s="1"/>
  <c r="E10" i="8"/>
  <c r="G22" i="8"/>
  <c r="M22" i="8" s="1"/>
  <c r="G20" i="8"/>
  <c r="O20" i="8" s="1"/>
  <c r="G18" i="8"/>
  <c r="O18" i="8" s="1"/>
  <c r="G16" i="8"/>
  <c r="M16" i="8" s="1"/>
  <c r="G11" i="8"/>
  <c r="M11" i="8" s="1"/>
  <c r="G13" i="8"/>
  <c r="O13" i="8" s="1"/>
  <c r="G14" i="8"/>
  <c r="M14" i="8" s="1"/>
  <c r="E54" i="8"/>
  <c r="E53" i="8"/>
  <c r="E51" i="8"/>
  <c r="E49" i="8"/>
  <c r="D53" i="8"/>
  <c r="D54" i="8"/>
  <c r="D49" i="8"/>
  <c r="D45" i="8"/>
  <c r="C49" i="8"/>
  <c r="C51" i="8"/>
  <c r="C53" i="8"/>
  <c r="C54" i="8"/>
  <c r="E45" i="8"/>
  <c r="D69" i="8"/>
  <c r="D70" i="8"/>
  <c r="D71" i="8"/>
  <c r="D68" i="8"/>
  <c r="D66" i="8"/>
  <c r="D64" i="8"/>
  <c r="C65" i="8"/>
  <c r="C66" i="8"/>
  <c r="C67" i="8"/>
  <c r="C69" i="8"/>
  <c r="C70" i="8"/>
  <c r="C71" i="8"/>
  <c r="C64" i="8"/>
  <c r="C68" i="8"/>
  <c r="C68" i="10"/>
  <c r="D65" i="8" s="1"/>
  <c r="C9" i="8"/>
  <c r="C10" i="8"/>
  <c r="C11" i="8"/>
  <c r="C12" i="8"/>
  <c r="C13" i="8"/>
  <c r="C14" i="8"/>
  <c r="C15" i="8"/>
  <c r="C16" i="8"/>
  <c r="C17" i="8"/>
  <c r="C18" i="8"/>
  <c r="C19" i="8"/>
  <c r="C20" i="8"/>
  <c r="C21" i="8"/>
  <c r="C22" i="8"/>
  <c r="C8" i="8"/>
  <c r="E34" i="10"/>
  <c r="D3" i="7"/>
  <c r="D50" i="7"/>
  <c r="D97" i="7"/>
  <c r="F90" i="7"/>
  <c r="F88" i="7"/>
  <c r="F83" i="7"/>
  <c r="F82" i="7"/>
  <c r="F81" i="7"/>
  <c r="F80" i="7"/>
  <c r="F79" i="7"/>
  <c r="F78" i="7"/>
  <c r="F77" i="7"/>
  <c r="F76" i="7"/>
  <c r="F75" i="7"/>
  <c r="F73" i="7"/>
  <c r="F72" i="7"/>
  <c r="F71" i="7"/>
  <c r="F135" i="7"/>
  <c r="F130" i="7"/>
  <c r="F129" i="7"/>
  <c r="F128" i="7"/>
  <c r="F127" i="7"/>
  <c r="F126" i="7"/>
  <c r="F125" i="7"/>
  <c r="F124" i="7"/>
  <c r="F123" i="7"/>
  <c r="F122" i="7"/>
  <c r="F120" i="7"/>
  <c r="F119" i="7"/>
  <c r="F118" i="7"/>
  <c r="F116" i="7"/>
  <c r="F112" i="7"/>
  <c r="F110" i="7"/>
  <c r="F107" i="7"/>
  <c r="F106" i="7"/>
  <c r="F105" i="7"/>
  <c r="F104" i="7"/>
  <c r="F103" i="7"/>
  <c r="D43" i="7"/>
  <c r="D38" i="7"/>
  <c r="D37" i="7"/>
  <c r="D36" i="7"/>
  <c r="D35" i="7"/>
  <c r="D34" i="7"/>
  <c r="D33" i="7"/>
  <c r="D31" i="7"/>
  <c r="D30" i="7"/>
  <c r="D26" i="7"/>
  <c r="D24" i="7"/>
  <c r="D22" i="7"/>
  <c r="D20" i="7"/>
  <c r="D18" i="7"/>
  <c r="D15" i="7"/>
  <c r="D14" i="7"/>
  <c r="D13" i="7"/>
  <c r="D12" i="7"/>
  <c r="D11" i="7"/>
  <c r="D42" i="7"/>
  <c r="S22" i="8"/>
  <c r="I22" i="8"/>
  <c r="I21" i="8"/>
  <c r="S20" i="8"/>
  <c r="M20" i="8"/>
  <c r="I20" i="8"/>
  <c r="I19" i="8"/>
  <c r="S18" i="8"/>
  <c r="I18" i="8"/>
  <c r="F18" i="8"/>
  <c r="I17" i="8"/>
  <c r="S16" i="8"/>
  <c r="R16" i="8"/>
  <c r="I16" i="8"/>
  <c r="I15" i="8"/>
  <c r="L14" i="8"/>
  <c r="R14" i="8"/>
  <c r="I14" i="8"/>
  <c r="F14" i="8"/>
  <c r="N13" i="8"/>
  <c r="L13" i="8"/>
  <c r="I13" i="8"/>
  <c r="I12" i="8"/>
  <c r="I11" i="8"/>
  <c r="I10" i="8"/>
  <c r="B57" i="10" l="1"/>
  <c r="C50" i="8" s="1"/>
  <c r="L16" i="8"/>
  <c r="D55" i="8"/>
  <c r="D56" i="8" s="1"/>
  <c r="F16" i="8"/>
  <c r="J16" i="8" s="1"/>
  <c r="D52" i="8"/>
  <c r="E52" i="8"/>
  <c r="E55" i="8" s="1"/>
  <c r="E56" i="8" s="1"/>
  <c r="K18" i="8"/>
  <c r="R18" i="8" s="1"/>
  <c r="F11" i="8"/>
  <c r="K11" i="8"/>
  <c r="R11" i="8" s="1"/>
  <c r="H32" i="12"/>
  <c r="F13" i="8"/>
  <c r="H13" i="8" s="1"/>
  <c r="H31" i="8" s="1"/>
  <c r="L18" i="8"/>
  <c r="T18" i="8" s="1"/>
  <c r="O22" i="8"/>
  <c r="B87" i="10"/>
  <c r="C83" i="8" s="1"/>
  <c r="H24" i="12"/>
  <c r="H27" i="12" s="1"/>
  <c r="T20" i="8"/>
  <c r="K20" i="8"/>
  <c r="R20" i="8" s="1"/>
  <c r="T14" i="8"/>
  <c r="R22" i="8"/>
  <c r="J18" i="8"/>
  <c r="J11" i="8"/>
  <c r="E86" i="8"/>
  <c r="E87" i="8" s="1"/>
  <c r="D78" i="8"/>
  <c r="F20" i="8"/>
  <c r="H20" i="8" s="1"/>
  <c r="D80" i="8"/>
  <c r="D86" i="8" s="1"/>
  <c r="D87" i="8" s="1"/>
  <c r="O16" i="8"/>
  <c r="P16" i="8" s="1"/>
  <c r="H16" i="8"/>
  <c r="C109" i="10"/>
  <c r="H14" i="8"/>
  <c r="M18" i="8"/>
  <c r="N18" i="8" s="1"/>
  <c r="F21" i="8"/>
  <c r="J21" i="8" s="1"/>
  <c r="F17" i="8"/>
  <c r="J17" i="8" s="1"/>
  <c r="F12" i="8"/>
  <c r="J12" i="8" s="1"/>
  <c r="F15" i="8"/>
  <c r="J15" i="8" s="1"/>
  <c r="F10" i="8"/>
  <c r="J10" i="8" s="1"/>
  <c r="J34" i="8" s="1"/>
  <c r="P13" i="8"/>
  <c r="F19" i="8"/>
  <c r="J19" i="8" s="1"/>
  <c r="P20" i="8"/>
  <c r="L11" i="8"/>
  <c r="T11" i="8" s="1"/>
  <c r="J14" i="8"/>
  <c r="N16" i="8"/>
  <c r="T16" i="8"/>
  <c r="F22" i="8"/>
  <c r="H22" i="8" s="1"/>
  <c r="L22" i="8"/>
  <c r="P22" i="8" s="1"/>
  <c r="N22" i="8"/>
  <c r="T13" i="8"/>
  <c r="J13" i="8"/>
  <c r="J31" i="8" s="1"/>
  <c r="N14" i="8"/>
  <c r="O14" i="8"/>
  <c r="P14" i="8" s="1"/>
  <c r="O11" i="8"/>
  <c r="H11" i="8"/>
  <c r="H18" i="8"/>
  <c r="D57" i="8" l="1"/>
  <c r="D58" i="8" s="1"/>
  <c r="P18" i="8"/>
  <c r="H30" i="8"/>
  <c r="J32" i="8"/>
  <c r="H28" i="12"/>
  <c r="F135" i="13" s="1"/>
  <c r="H135" i="13" s="1"/>
  <c r="H141" i="13" s="1"/>
  <c r="F141" i="13" s="1"/>
  <c r="N20" i="8"/>
  <c r="R24" i="8"/>
  <c r="R28" i="8" s="1"/>
  <c r="P11" i="8"/>
  <c r="J20" i="8"/>
  <c r="D88" i="8"/>
  <c r="D67" i="8"/>
  <c r="D72" i="8" s="1"/>
  <c r="D73" i="8" s="1"/>
  <c r="C70" i="10"/>
  <c r="G10" i="8"/>
  <c r="K24" i="8"/>
  <c r="N11" i="8"/>
  <c r="P24" i="8"/>
  <c r="P27" i="8" s="1"/>
  <c r="L24" i="8"/>
  <c r="J22" i="8"/>
  <c r="T22" i="8"/>
  <c r="T24" i="8" s="1"/>
  <c r="J30" i="8" l="1"/>
  <c r="N24" i="8"/>
  <c r="N27" i="8" s="1"/>
  <c r="G15" i="8"/>
  <c r="H15" i="8" s="1"/>
  <c r="G17" i="8"/>
  <c r="H17" i="8" s="1"/>
  <c r="G12" i="8"/>
  <c r="H12" i="8" s="1"/>
  <c r="G21" i="8"/>
  <c r="H21" i="8" s="1"/>
  <c r="J24" i="8"/>
  <c r="J27" i="8" s="1"/>
  <c r="G19" i="8"/>
  <c r="H19" i="8" s="1"/>
  <c r="R27" i="8"/>
  <c r="Q24" i="8"/>
  <c r="Q28" i="8" s="1"/>
  <c r="H10" i="8"/>
  <c r="H34" i="8" s="1"/>
  <c r="D89" i="8"/>
  <c r="M24" i="8"/>
  <c r="M27" i="8" s="1"/>
  <c r="T27" i="8"/>
  <c r="T28" i="8"/>
  <c r="S24" i="8"/>
  <c r="S28" i="8" s="1"/>
  <c r="N28" i="8"/>
  <c r="O24" i="8"/>
  <c r="O27" i="8" s="1"/>
  <c r="F131" i="7" s="1"/>
  <c r="P28" i="8"/>
  <c r="H32" i="8" l="1"/>
  <c r="Q27" i="8"/>
  <c r="D40" i="7" s="1"/>
  <c r="J28" i="8"/>
  <c r="F89" i="7" s="1"/>
  <c r="M28" i="8"/>
  <c r="D39" i="7" s="1"/>
  <c r="H24" i="8"/>
  <c r="H27" i="8" s="1"/>
  <c r="S27" i="8"/>
  <c r="F132" i="7" s="1"/>
  <c r="O28" i="8"/>
  <c r="F114" i="7"/>
  <c r="F91" i="7"/>
  <c r="F138" i="7"/>
  <c r="H28" i="8" l="1"/>
  <c r="F86" i="7" s="1"/>
  <c r="F85" i="7"/>
  <c r="H91" i="7" l="1"/>
  <c r="H89" i="7"/>
  <c r="H88" i="7"/>
  <c r="H87" i="7"/>
  <c r="H86" i="7"/>
  <c r="H85" i="7"/>
  <c r="H84" i="7"/>
  <c r="H83" i="7"/>
  <c r="H82" i="7"/>
  <c r="H81" i="7"/>
  <c r="H80" i="7"/>
  <c r="H79" i="7"/>
  <c r="H76" i="7"/>
  <c r="H75" i="7"/>
  <c r="H73" i="7"/>
  <c r="H72" i="7"/>
  <c r="H71" i="7"/>
  <c r="H70" i="7"/>
  <c r="H69" i="7"/>
  <c r="H68" i="7"/>
  <c r="H66" i="7"/>
  <c r="H65" i="7"/>
  <c r="H64" i="7"/>
  <c r="H63" i="7"/>
  <c r="H62" i="7"/>
  <c r="H61" i="7"/>
  <c r="H60" i="7"/>
  <c r="H59" i="7"/>
  <c r="H58" i="7"/>
  <c r="H57" i="7"/>
  <c r="H56" i="7"/>
  <c r="H137" i="7"/>
  <c r="H136" i="7"/>
  <c r="H135" i="7"/>
  <c r="H134" i="7"/>
  <c r="H133" i="7"/>
  <c r="H132" i="7"/>
  <c r="H131" i="7"/>
  <c r="H130" i="7"/>
  <c r="H129" i="7"/>
  <c r="H128" i="7"/>
  <c r="H127" i="7"/>
  <c r="H126" i="7"/>
  <c r="H124" i="7"/>
  <c r="H123" i="7"/>
  <c r="H122" i="7"/>
  <c r="H120" i="7"/>
  <c r="H119" i="7"/>
  <c r="H118" i="7"/>
  <c r="H117" i="7"/>
  <c r="H116" i="7"/>
  <c r="H115" i="7"/>
  <c r="H114" i="7"/>
  <c r="H113" i="7"/>
  <c r="H112" i="7"/>
  <c r="H111" i="7"/>
  <c r="H110" i="7"/>
  <c r="H109" i="7"/>
  <c r="H108" i="7"/>
  <c r="H107" i="7"/>
  <c r="H106" i="7"/>
  <c r="H105" i="7"/>
  <c r="H104" i="7"/>
  <c r="H103" i="7"/>
  <c r="F74" i="7" l="1"/>
  <c r="H74" i="7" s="1"/>
  <c r="H138" i="7"/>
  <c r="F121" i="7"/>
  <c r="H121" i="7" s="1"/>
  <c r="D29" i="7"/>
  <c r="H29" i="7" s="1"/>
  <c r="H90" i="7"/>
  <c r="H78" i="7"/>
  <c r="H77" i="7"/>
  <c r="H67" i="7"/>
  <c r="H125" i="7"/>
  <c r="H46" i="7"/>
  <c r="H45" i="7"/>
  <c r="H44" i="7"/>
  <c r="H43" i="7"/>
  <c r="H42" i="7"/>
  <c r="H41" i="7"/>
  <c r="H40" i="7"/>
  <c r="H39" i="7"/>
  <c r="H38" i="7"/>
  <c r="H37" i="7"/>
  <c r="H36" i="7"/>
  <c r="H35" i="7"/>
  <c r="H34" i="7"/>
  <c r="H33" i="7"/>
  <c r="H32" i="7"/>
  <c r="H31" i="7"/>
  <c r="H30" i="7"/>
  <c r="H28" i="7"/>
  <c r="H27" i="7"/>
  <c r="H26" i="7"/>
  <c r="H25" i="7"/>
  <c r="H24" i="7"/>
  <c r="H23" i="7"/>
  <c r="H22" i="7"/>
  <c r="H21" i="7"/>
  <c r="H20" i="7"/>
  <c r="H19" i="7"/>
  <c r="H18" i="7"/>
  <c r="H17" i="7"/>
  <c r="H16" i="7"/>
  <c r="H15" i="7"/>
  <c r="H14" i="7"/>
  <c r="H13" i="7"/>
  <c r="H12" i="7"/>
  <c r="H11" i="7"/>
  <c r="H92" i="7" l="1"/>
  <c r="F92" i="7" s="1"/>
  <c r="H47" i="7"/>
  <c r="D47" i="7" s="1"/>
  <c r="H139" i="7"/>
  <c r="F139" i="7" s="1"/>
</calcChain>
</file>

<file path=xl/comments1.xml><?xml version="1.0" encoding="utf-8"?>
<comments xmlns="http://schemas.openxmlformats.org/spreadsheetml/2006/main">
  <authors>
    <author>Bereket Nigusse</author>
  </authors>
  <commentList>
    <comment ref="D12" authorId="0" shapeId="0">
      <text>
        <r>
          <rPr>
            <sz val="9"/>
            <color indexed="81"/>
            <rFont val="Tahoma"/>
            <family val="2"/>
          </rPr>
          <t>CI: Continuous Insulation</t>
        </r>
      </text>
    </comment>
    <comment ref="D15" authorId="0" shapeId="0">
      <text>
        <r>
          <rPr>
            <sz val="9"/>
            <color indexed="81"/>
            <rFont val="Tahoma"/>
            <family val="2"/>
          </rPr>
          <t>CI: Continuous Insulation</t>
        </r>
      </text>
    </comment>
    <comment ref="D17" authorId="0" shapeId="0">
      <text>
        <r>
          <rPr>
            <sz val="9"/>
            <color indexed="81"/>
            <rFont val="Tahoma"/>
            <family val="2"/>
          </rPr>
          <t>CI: Continuous Insulation</t>
        </r>
      </text>
    </comment>
    <comment ref="D19" authorId="0" shapeId="0">
      <text>
        <r>
          <rPr>
            <sz val="9"/>
            <color indexed="81"/>
            <rFont val="Tahoma"/>
            <family val="2"/>
          </rPr>
          <t>CI: Continuous Insulation</t>
        </r>
      </text>
    </comment>
    <comment ref="D21" authorId="0" shapeId="0">
      <text>
        <r>
          <rPr>
            <sz val="9"/>
            <color indexed="81"/>
            <rFont val="Tahoma"/>
            <family val="2"/>
          </rPr>
          <t>CI: Continuous Insulation</t>
        </r>
      </text>
    </comment>
  </commentList>
</comments>
</file>

<file path=xl/sharedStrings.xml><?xml version="1.0" encoding="utf-8"?>
<sst xmlns="http://schemas.openxmlformats.org/spreadsheetml/2006/main" count="2842" uniqueCount="447">
  <si>
    <t>Slab-on-grade Floor</t>
  </si>
  <si>
    <t>Roof – gable type- 5 in 12 slope No overhangs</t>
  </si>
  <si>
    <t xml:space="preserve">        Skylight</t>
  </si>
  <si>
    <t xml:space="preserve">        Door 1 - </t>
  </si>
  <si>
    <t xml:space="preserve">        Window 1 – Vinyl Frame Low-e Double</t>
  </si>
  <si>
    <t>Wall 2 –faces East, CBS</t>
  </si>
  <si>
    <t xml:space="preserve">        Window 2 – Vinyl Frame Low-e Double</t>
  </si>
  <si>
    <t>Wall 3 –faces South, CBS</t>
  </si>
  <si>
    <t xml:space="preserve">        Window 3 – Vinyl Frame Low-e Double</t>
  </si>
  <si>
    <t xml:space="preserve">        Window 4 – Vinyl Frame  Low-e Double</t>
  </si>
  <si>
    <t>Wall 5 –faces West, CBS</t>
  </si>
  <si>
    <t xml:space="preserve">        Window 5 – Vinyl Frame Low-e Double</t>
  </si>
  <si>
    <t>Infiltration</t>
  </si>
  <si>
    <t>Heating – heat pump</t>
  </si>
  <si>
    <t>Cooling – heat pump</t>
  </si>
  <si>
    <t>Ducts – supply in attic</t>
  </si>
  <si>
    <t>Ducts – return in conditioned space</t>
  </si>
  <si>
    <t>Duct Tightness</t>
  </si>
  <si>
    <t>Air Handler – in conditioned space</t>
  </si>
  <si>
    <t>Mechanical Ventilation</t>
  </si>
  <si>
    <t>Hot Water System - electric</t>
  </si>
  <si>
    <t>All Hot Water Lines</t>
  </si>
  <si>
    <t>Hot Water Circulation -none</t>
  </si>
  <si>
    <t>Lighting</t>
  </si>
  <si>
    <t>Pool and Spa - none</t>
  </si>
  <si>
    <t>Florida Prescriptive Test</t>
  </si>
  <si>
    <t>House Pr-T01</t>
  </si>
  <si>
    <t xml:space="preserve">Software Name: </t>
  </si>
  <si>
    <t>R402.1 R-value Method</t>
  </si>
  <si>
    <t>Test Result</t>
  </si>
  <si>
    <t>Floor</t>
  </si>
  <si>
    <t>U-Value too high</t>
  </si>
  <si>
    <t>R-Value too low</t>
  </si>
  <si>
    <t>Roof</t>
  </si>
  <si>
    <t>Ceiling</t>
  </si>
  <si>
    <t>Skylight</t>
  </si>
  <si>
    <t>Wall</t>
  </si>
  <si>
    <t>Window</t>
  </si>
  <si>
    <t>Door</t>
  </si>
  <si>
    <t>Heating</t>
  </si>
  <si>
    <t>Cooling</t>
  </si>
  <si>
    <t>SupplyDucts</t>
  </si>
  <si>
    <t>ReturnDucts</t>
  </si>
  <si>
    <t>DuctTightness</t>
  </si>
  <si>
    <t>AIrHandler</t>
  </si>
  <si>
    <t>MechanicalVent</t>
  </si>
  <si>
    <t>HotWaterSystem</t>
  </si>
  <si>
    <t>HotWaterLines</t>
  </si>
  <si>
    <t>HotWaterCirculation</t>
  </si>
  <si>
    <t>PoolandSpa</t>
  </si>
  <si>
    <t>Solar Absorptance too high</t>
  </si>
  <si>
    <t>SHGC too high</t>
  </si>
  <si>
    <t>Leakage too high</t>
  </si>
  <si>
    <t>AFUE too low</t>
  </si>
  <si>
    <t>HSPF too low</t>
  </si>
  <si>
    <t>SEER too low</t>
  </si>
  <si>
    <t>Not part of software</t>
  </si>
  <si>
    <t>Location not allowed</t>
  </si>
  <si>
    <t>Ventilation too low</t>
  </si>
  <si>
    <t>Ventilation too high</t>
  </si>
  <si>
    <t>EF too low</t>
  </si>
  <si>
    <t>Insulation too low</t>
  </si>
  <si>
    <t>Insufficient controls</t>
  </si>
  <si>
    <t>Not applicable</t>
  </si>
  <si>
    <t>OverallFenU</t>
  </si>
  <si>
    <t>OverallFenSHGC</t>
  </si>
  <si>
    <t>TotalUA</t>
  </si>
  <si>
    <t>Total UA too high</t>
  </si>
  <si>
    <t>Heater Efficiency too low</t>
  </si>
  <si>
    <t>No cover</t>
  </si>
  <si>
    <t>U-Factor too high</t>
  </si>
  <si>
    <t>Total Thermal Envelope UA Value</t>
  </si>
  <si>
    <t>Total Thermal Envelope UA Result</t>
  </si>
  <si>
    <t>Average U too high</t>
  </si>
  <si>
    <t>Average SHGC too high</t>
  </si>
  <si>
    <t>R-Value Method</t>
  </si>
  <si>
    <t>R402.1.3 U-Factor Alternative Method</t>
  </si>
  <si>
    <t>U-Factor</t>
  </si>
  <si>
    <t>Baseline Thermal Envelope UA Value</t>
  </si>
  <si>
    <t>R402.1.4 Total UA Alternative Method</t>
  </si>
  <si>
    <t>UCalcMethod</t>
  </si>
  <si>
    <t>Parallel and Series</t>
  </si>
  <si>
    <t>Modified Zone</t>
  </si>
  <si>
    <t>Parallel Path</t>
  </si>
  <si>
    <t>Grey cells do not need entries</t>
  </si>
  <si>
    <t>Test Result:</t>
  </si>
  <si>
    <t>Value</t>
  </si>
  <si>
    <t>Calculation Method</t>
  </si>
  <si>
    <t>U-Factor Calculation</t>
  </si>
  <si>
    <t xml:space="preserve"> Method Test Result</t>
  </si>
  <si>
    <t>Method Test Result</t>
  </si>
  <si>
    <t>House Pr-T02</t>
  </si>
  <si>
    <t>House Complies?</t>
  </si>
  <si>
    <t>Complies</t>
  </si>
  <si>
    <t>Test Result for Software:</t>
  </si>
  <si>
    <t>House Pr-T03</t>
  </si>
  <si>
    <t>Wall 2 –faces East, Wood Frame</t>
  </si>
  <si>
    <t>Wall 3 –faces South, Wood Frame</t>
  </si>
  <si>
    <t xml:space="preserve">        Window 3 – Metal Frame, Single Pane</t>
  </si>
  <si>
    <t xml:space="preserve">Wall 4 –faces South, Wood Frame </t>
  </si>
  <si>
    <t>Wall 5 –faces West, Wood Frame</t>
  </si>
  <si>
    <t>House Pr-M01</t>
  </si>
  <si>
    <t>House Pr-M02</t>
  </si>
  <si>
    <t xml:space="preserve">        Window 1 – Vinyl Frame Impact Resistance Glass</t>
  </si>
  <si>
    <t>Wall 2 –faces South, Steel Frame</t>
  </si>
  <si>
    <t xml:space="preserve">        Window 2 – Vinyl Frame Impact Resistance Glass</t>
  </si>
  <si>
    <t>Wall 3 –faces South, Steel Frame</t>
  </si>
  <si>
    <t xml:space="preserve">        Window 3 – Vinyl Frame Impact Resistance Glass</t>
  </si>
  <si>
    <t xml:space="preserve">        Window 4 – Vinyl Frame  Impact Resistance Glass</t>
  </si>
  <si>
    <t>Wall 5 –faces West, Steel Frame</t>
  </si>
  <si>
    <t xml:space="preserve">        Window 5 – Vinyl Frame Impact Resistance Glass</t>
  </si>
  <si>
    <t>House Pr-M03</t>
  </si>
  <si>
    <t>Enter software result in yellow highlighted areas.</t>
  </si>
  <si>
    <t>Test results in pale green indicate if software produced expected results.</t>
  </si>
  <si>
    <t>Area Weighted Fenestration U-Factor Value</t>
  </si>
  <si>
    <t>Area Weighted Fenestration SHGC Value</t>
  </si>
  <si>
    <t>Area Weighted Fenestration U-Factor Result</t>
  </si>
  <si>
    <t>Area Weighted Fenestration SHGC Result</t>
  </si>
  <si>
    <t>Isothermal-Planes</t>
  </si>
  <si>
    <t>Yes</t>
  </si>
  <si>
    <t>No</t>
  </si>
  <si>
    <t>Fenestration Area</t>
  </si>
  <si>
    <t>Rvalue Method</t>
  </si>
  <si>
    <t>Uvalue Method</t>
  </si>
  <si>
    <t>Proposed Home</t>
  </si>
  <si>
    <t>Reference Home</t>
  </si>
  <si>
    <t>Envelope Name</t>
  </si>
  <si>
    <t>Envelope Type</t>
  </si>
  <si>
    <t>Gross Area</t>
  </si>
  <si>
    <t>Net Area</t>
  </si>
  <si>
    <t>UA-Value Reference</t>
  </si>
  <si>
    <t>UA-Value</t>
  </si>
  <si>
    <t>SHGC</t>
  </si>
  <si>
    <t>SHGC x Area</t>
  </si>
  <si>
    <t>Home Total UA Value</t>
  </si>
  <si>
    <t>UA allowed deviation range in %</t>
  </si>
  <si>
    <t>Range</t>
  </si>
  <si>
    <t>U-Factor allowed deviation range absolute</t>
  </si>
  <si>
    <t>Low</t>
  </si>
  <si>
    <t>SHGC allowed deviation range absolute</t>
  </si>
  <si>
    <t>High</t>
  </si>
  <si>
    <t>Envelope Types</t>
  </si>
  <si>
    <t>U-Factor Calculation Method</t>
  </si>
  <si>
    <t>Wall CBS</t>
  </si>
  <si>
    <t>Wall Wood-Framed</t>
  </si>
  <si>
    <t>Window Vinyl Frame Double Low-e</t>
  </si>
  <si>
    <t>Construction Layers</t>
  </si>
  <si>
    <t>Insulated Cavity Path</t>
  </si>
  <si>
    <t>Studs Path</t>
  </si>
  <si>
    <t>Source</t>
  </si>
  <si>
    <t>Fraction of Wall Area</t>
  </si>
  <si>
    <t>Attic Air film</t>
  </si>
  <si>
    <t>PNNL- 20797, Page A.3</t>
  </si>
  <si>
    <t>Wood Stud 2 x 4: Nominal</t>
  </si>
  <si>
    <t>2013 ASHRAE HBF, Page 27.3</t>
  </si>
  <si>
    <t>2013 ASHRAE HBF Table 1, Page 26.8</t>
  </si>
  <si>
    <t>Indoor Air film</t>
  </si>
  <si>
    <t>2013 ASHRAE HBF Table 10, Page 26.20</t>
  </si>
  <si>
    <t>Total Resistances of Each Path</t>
  </si>
  <si>
    <t>Total U-Values of Each Paths</t>
  </si>
  <si>
    <t>U-Value of Assembly</t>
  </si>
  <si>
    <t>R-Value of Assmbly</t>
  </si>
  <si>
    <t>Outside Air Film (7.5 mph wind, Summer)</t>
  </si>
  <si>
    <t>2013 ASHRAE HBF Table 1, Page 26.11</t>
  </si>
  <si>
    <t>lath</t>
  </si>
  <si>
    <t>2013 ASHRAE HBF Table 1, Page 26.10</t>
  </si>
  <si>
    <t>2013 ASHRAE HBF Table 3, Page 26.13</t>
  </si>
  <si>
    <t>Indoor Air Film</t>
  </si>
  <si>
    <t>Plywood Exterior 0.5 Inch</t>
  </si>
  <si>
    <t>Total Resistances of the Parellel Paths</t>
  </si>
  <si>
    <t>U-Value of the Parallel Paths</t>
  </si>
  <si>
    <t>Values</t>
  </si>
  <si>
    <t>Units</t>
  </si>
  <si>
    <t>Thinckness</t>
  </si>
  <si>
    <t>Inch</t>
  </si>
  <si>
    <t>Block Width</t>
  </si>
  <si>
    <t>Block Length</t>
  </si>
  <si>
    <t>Web Thickness</t>
  </si>
  <si>
    <t>Face Shell Thickness</t>
  </si>
  <si>
    <t>Concrete Resistance Per inch</t>
  </si>
  <si>
    <t>Code Insulation (expanded perlite) Resistance Per Inch</t>
  </si>
  <si>
    <t xml:space="preserve">Shall (Face) Resistance </t>
  </si>
  <si>
    <t>Web Resistance</t>
  </si>
  <si>
    <t>Core (Insulated) Resistance</t>
  </si>
  <si>
    <t>Area Fraction of Web</t>
  </si>
  <si>
    <t>-</t>
  </si>
  <si>
    <t>Area Fraction of Core</t>
  </si>
  <si>
    <t>Hollow Block Total Resistance</t>
  </si>
  <si>
    <t>(h-ft2-°F)/Btu</t>
  </si>
  <si>
    <t>2013 ASHRAE HBF:  2013 ASHRAE Handbooks of Fundamentals</t>
  </si>
  <si>
    <t>PNNL- 20797: R Bartlett, RW Schultz, LM Connell, ZT Taylor, K Gowri, JD Wiberg, and RG Lucas. 2012. Methodology for Developing the REScheckTM Software through Version 4.4.3</t>
  </si>
  <si>
    <t>Parameter</t>
  </si>
  <si>
    <t>Size</t>
  </si>
  <si>
    <t>Efficiency Level</t>
  </si>
  <si>
    <t>Conditioned Floor Area</t>
  </si>
  <si>
    <t>NA</t>
  </si>
  <si>
    <t>50x40 perimeter</t>
  </si>
  <si>
    <t>No insulation</t>
  </si>
  <si>
    <t>50 ft wide x 10 ft high</t>
  </si>
  <si>
    <t>40 ft wide x 10 ft high</t>
  </si>
  <si>
    <t>10 ft wide x 10 ft high</t>
  </si>
  <si>
    <t>21,000 Btu/hr</t>
  </si>
  <si>
    <t>400 ft2</t>
  </si>
  <si>
    <t>100 ft2</t>
  </si>
  <si>
    <t>None</t>
  </si>
  <si>
    <t>N/A</t>
  </si>
  <si>
    <t>50 gallon</t>
  </si>
  <si>
    <t xml:space="preserve">Runs  10 - 35 feet </t>
  </si>
  <si>
    <t>100 installed fixtures</t>
  </si>
  <si>
    <t>R-Value, U-Factor, or Others</t>
  </si>
  <si>
    <t>SHGC, Solar Absorptance</t>
  </si>
  <si>
    <t>Layers from outside-to-Inside</t>
  </si>
  <si>
    <t>Resistance</t>
  </si>
  <si>
    <t>8 Inch Hollow Concrete Block (Normal Density)</t>
  </si>
  <si>
    <t>0.75 Inch Air Space with Furring at 16" on center</t>
  </si>
  <si>
    <t xml:space="preserve">0.5 Inch Drywall </t>
  </si>
  <si>
    <t>Construction: Insulated Concrete Block</t>
  </si>
  <si>
    <t>Fraction of Framing Area</t>
  </si>
  <si>
    <t>Area</t>
  </si>
  <si>
    <t>Construction: Wood Framed Ceiling</t>
  </si>
  <si>
    <t>Construction: Wood Framed Wall</t>
  </si>
  <si>
    <r>
      <t>Stucco (0.8 Inch thick, conductivity=9.7 Btu-in/h-ft</t>
    </r>
    <r>
      <rPr>
        <vertAlign val="superscript"/>
        <sz val="10"/>
        <color theme="1"/>
        <rFont val="Arial"/>
        <family val="2"/>
      </rPr>
      <t>2</t>
    </r>
    <r>
      <rPr>
        <sz val="10"/>
        <color theme="1"/>
        <rFont val="Arial"/>
        <family val="2"/>
      </rPr>
      <t>-°F)</t>
    </r>
  </si>
  <si>
    <t>Fraction of wood framing Area</t>
  </si>
  <si>
    <t>Insulated Concrete Block Data Sources: 2013 ASHRAE HBF Page 27.4 and Table 3, Page 26.13</t>
  </si>
  <si>
    <t xml:space="preserve">Heading of the U-Factor and UA Value Calculation worksheets </t>
  </si>
  <si>
    <t>U-Factor Proposed</t>
  </si>
  <si>
    <t>UA-Value Proposed</t>
  </si>
  <si>
    <t>U-Factor Reference</t>
  </si>
  <si>
    <t>U-Factor Method</t>
  </si>
  <si>
    <t>Proposed U-Factor</t>
  </si>
  <si>
    <t>Standard UA-Value</t>
  </si>
  <si>
    <t>Proposed UA-Value</t>
  </si>
  <si>
    <t>Proposed SHGC</t>
  </si>
  <si>
    <t>Proposed SHGCxA-Value</t>
  </si>
  <si>
    <t>Standard U-Factors</t>
  </si>
  <si>
    <t>Envelope Geometry (Area)</t>
  </si>
  <si>
    <t>Compliance Method Fenestration Area</t>
  </si>
  <si>
    <t>Window Area Weighted Avg Proposed U-Factor</t>
  </si>
  <si>
    <t>Window Area Weighted Avg Proposed SHGC</t>
  </si>
  <si>
    <t>Wood Framed Wall</t>
  </si>
  <si>
    <t>Insulated Concrete Block</t>
  </si>
  <si>
    <t xml:space="preserve"> </t>
  </si>
  <si>
    <t xml:space="preserve">Complies, Failure Issue or </t>
  </si>
  <si>
    <t>Complies, Failure Issue or</t>
  </si>
  <si>
    <r>
      <t>2000 ft</t>
    </r>
    <r>
      <rPr>
        <vertAlign val="superscript"/>
        <sz val="10"/>
        <color theme="1"/>
        <rFont val="Arial"/>
        <family val="2"/>
      </rPr>
      <t>2</t>
    </r>
  </si>
  <si>
    <r>
      <t>2167 ft</t>
    </r>
    <r>
      <rPr>
        <vertAlign val="superscript"/>
        <sz val="10"/>
        <color theme="1"/>
        <rFont val="Arial"/>
        <family val="2"/>
      </rPr>
      <t>2</t>
    </r>
    <r>
      <rPr>
        <sz val="10"/>
        <color theme="1"/>
        <rFont val="Arial"/>
        <family val="2"/>
      </rPr>
      <t xml:space="preserve"> above 2000 ft</t>
    </r>
    <r>
      <rPr>
        <vertAlign val="superscript"/>
        <sz val="10"/>
        <color theme="1"/>
        <rFont val="Arial"/>
        <family val="2"/>
      </rPr>
      <t xml:space="preserve">2 </t>
    </r>
    <r>
      <rPr>
        <sz val="10"/>
        <color theme="1"/>
        <rFont val="Arial"/>
        <family val="2"/>
      </rPr>
      <t xml:space="preserve">conditioned </t>
    </r>
    <r>
      <rPr>
        <vertAlign val="superscript"/>
        <sz val="10"/>
        <color theme="1"/>
        <rFont val="Arial"/>
        <family val="2"/>
      </rPr>
      <t xml:space="preserve"> </t>
    </r>
    <r>
      <rPr>
        <sz val="10"/>
        <color theme="1"/>
        <rFont val="Arial"/>
        <family val="2"/>
      </rPr>
      <t>space</t>
    </r>
  </si>
  <si>
    <r>
      <t>Ceiling</t>
    </r>
    <r>
      <rPr>
        <vertAlign val="superscript"/>
        <sz val="10"/>
        <color theme="1"/>
        <rFont val="Arial"/>
        <family val="2"/>
      </rPr>
      <t>1</t>
    </r>
    <r>
      <rPr>
        <sz val="10"/>
        <color theme="1"/>
        <rFont val="Arial"/>
        <family val="2"/>
      </rPr>
      <t xml:space="preserve"> –flat under attic</t>
    </r>
  </si>
  <si>
    <r>
      <t>10 ft</t>
    </r>
    <r>
      <rPr>
        <vertAlign val="superscript"/>
        <sz val="10"/>
        <color theme="1"/>
        <rFont val="Arial"/>
        <family val="2"/>
      </rPr>
      <t>2</t>
    </r>
  </si>
  <si>
    <r>
      <t>24 ft</t>
    </r>
    <r>
      <rPr>
        <vertAlign val="superscript"/>
        <sz val="10"/>
        <color theme="1"/>
        <rFont val="Arial"/>
        <family val="2"/>
      </rPr>
      <t>2</t>
    </r>
  </si>
  <si>
    <r>
      <t>75 ft</t>
    </r>
    <r>
      <rPr>
        <vertAlign val="superscript"/>
        <sz val="10"/>
        <color theme="1"/>
        <rFont val="Arial"/>
        <family val="2"/>
      </rPr>
      <t>2</t>
    </r>
  </si>
  <si>
    <r>
      <t>15 ft</t>
    </r>
    <r>
      <rPr>
        <vertAlign val="superscript"/>
        <sz val="10"/>
        <color theme="1"/>
        <rFont val="Arial"/>
        <family val="2"/>
      </rPr>
      <t>2</t>
    </r>
  </si>
  <si>
    <r>
      <t>60 ft</t>
    </r>
    <r>
      <rPr>
        <vertAlign val="superscript"/>
        <sz val="10"/>
        <color theme="1"/>
        <rFont val="Arial"/>
        <family val="2"/>
      </rPr>
      <t>2</t>
    </r>
  </si>
  <si>
    <r>
      <t>2</t>
    </r>
    <r>
      <rPr>
        <sz val="10"/>
        <color rgb="FFFF0000"/>
        <rFont val="Arial"/>
        <family val="2"/>
      </rPr>
      <t xml:space="preserve"> CBS layers from outside: stucco, lathe, 8” normal density perlite insulated core concrete block, ¾” R4  insulation board, ¾” airspace with furring at 16” on center, and ½” drywall. Solar absorbtance = 0.5.</t>
    </r>
  </si>
  <si>
    <r>
      <t xml:space="preserve">3 </t>
    </r>
    <r>
      <rPr>
        <sz val="10"/>
        <color theme="1"/>
        <rFont val="Arial"/>
        <family val="2"/>
      </rPr>
      <t>Wood frame wall layers from outside: stucco, ½” exterior plywood, 2x4 frame with R-13 fiberglass batt insulation with a 25% total framing fraction, and ½” drywall. Solar absorbtance = 0.5.</t>
    </r>
  </si>
  <si>
    <t xml:space="preserve">Prescriptive Test: House M03 (Pr-M03) Characteristics – Location: Miami, Florida. </t>
  </si>
  <si>
    <t>PNNL- 20797, Table A.1, Page A.3</t>
  </si>
  <si>
    <t>Concrete Block Parameters</t>
  </si>
  <si>
    <t>Allowed Error Margins</t>
  </si>
  <si>
    <t>Batt Indulation R-Value</t>
  </si>
  <si>
    <t>Summary of Standard Reference Home U-Factors: Florida Energy Code</t>
  </si>
  <si>
    <t>R-Value Prescriptive Methods Allowed Area</t>
  </si>
  <si>
    <r>
      <t>Door Area Minimum, ft</t>
    </r>
    <r>
      <rPr>
        <vertAlign val="superscript"/>
        <sz val="11"/>
        <color theme="1"/>
        <rFont val="Calibri"/>
        <family val="2"/>
        <scheme val="minor"/>
      </rPr>
      <t>2</t>
    </r>
  </si>
  <si>
    <r>
      <t>Window Area Minimum, ft</t>
    </r>
    <r>
      <rPr>
        <vertAlign val="superscript"/>
        <sz val="11"/>
        <color theme="1"/>
        <rFont val="Calibri"/>
        <family val="2"/>
        <scheme val="minor"/>
      </rPr>
      <t>2</t>
    </r>
  </si>
  <si>
    <t>Air Space Resistance</t>
  </si>
  <si>
    <t>Core (un Insulated) Resistance</t>
  </si>
  <si>
    <t>8 Inch Insulated Concrete Block (Normal Density)</t>
  </si>
  <si>
    <r>
      <t>2000 ft</t>
    </r>
    <r>
      <rPr>
        <vertAlign val="superscript"/>
        <sz val="10"/>
        <color theme="1"/>
        <rFont val="Calibri"/>
        <family val="2"/>
        <scheme val="minor"/>
      </rPr>
      <t>2</t>
    </r>
  </si>
  <si>
    <r>
      <t>2167 ft</t>
    </r>
    <r>
      <rPr>
        <vertAlign val="superscript"/>
        <sz val="10"/>
        <color theme="1"/>
        <rFont val="Calibri"/>
        <family val="2"/>
        <scheme val="minor"/>
      </rPr>
      <t>2</t>
    </r>
    <r>
      <rPr>
        <sz val="10"/>
        <color theme="1"/>
        <rFont val="Calibri"/>
        <family val="2"/>
        <scheme val="minor"/>
      </rPr>
      <t xml:space="preserve"> above 2000 ft</t>
    </r>
    <r>
      <rPr>
        <vertAlign val="superscript"/>
        <sz val="10"/>
        <color theme="1"/>
        <rFont val="Calibri"/>
        <family val="2"/>
        <scheme val="minor"/>
      </rPr>
      <t xml:space="preserve">2 </t>
    </r>
    <r>
      <rPr>
        <sz val="10"/>
        <color theme="1"/>
        <rFont val="Calibri"/>
        <family val="2"/>
        <scheme val="minor"/>
      </rPr>
      <t xml:space="preserve">conditioned </t>
    </r>
    <r>
      <rPr>
        <vertAlign val="superscript"/>
        <sz val="10"/>
        <color theme="1"/>
        <rFont val="Calibri"/>
        <family val="2"/>
        <scheme val="minor"/>
      </rPr>
      <t xml:space="preserve"> </t>
    </r>
    <r>
      <rPr>
        <sz val="10"/>
        <color theme="1"/>
        <rFont val="Calibri"/>
        <family val="2"/>
        <scheme val="minor"/>
      </rPr>
      <t>space</t>
    </r>
  </si>
  <si>
    <r>
      <t>10 ft</t>
    </r>
    <r>
      <rPr>
        <vertAlign val="superscript"/>
        <sz val="10"/>
        <color theme="1"/>
        <rFont val="Calibri"/>
        <family val="2"/>
        <scheme val="minor"/>
      </rPr>
      <t>2</t>
    </r>
  </si>
  <si>
    <t>R4 insulated on inside</t>
  </si>
  <si>
    <r>
      <t>24 ft</t>
    </r>
    <r>
      <rPr>
        <vertAlign val="superscript"/>
        <sz val="10"/>
        <color theme="1"/>
        <rFont val="Calibri"/>
        <family val="2"/>
        <scheme val="minor"/>
      </rPr>
      <t>2</t>
    </r>
  </si>
  <si>
    <r>
      <t>2</t>
    </r>
    <r>
      <rPr>
        <sz val="11"/>
        <color theme="1"/>
        <rFont val="Calibri"/>
        <family val="2"/>
        <scheme val="minor"/>
      </rPr>
      <t xml:space="preserve"> </t>
    </r>
    <r>
      <rPr>
        <sz val="10"/>
        <color theme="1"/>
        <rFont val="Calibri"/>
        <family val="2"/>
        <scheme val="minor"/>
      </rPr>
      <t>CBS layers from outside: stucco, lathe, 8” normal density hollow core concrete block, ¾” R4  insulation board, ¾” airspace with furring at 16” on center, and ½” drywall. Solar absorbtance = 0.5.</t>
    </r>
  </si>
  <si>
    <r>
      <t xml:space="preserve">3 </t>
    </r>
    <r>
      <rPr>
        <sz val="10"/>
        <color theme="1"/>
        <rFont val="Calibri"/>
        <family val="2"/>
        <scheme val="minor"/>
      </rPr>
      <t>Wood frame wall layers from outside: stucco, ½” exterior plywood, 2x4 frame with R-13 fiberglass batt insulation with a 25% total framing fraction, and ½” drywall. Solar absorbtance = 0.5.</t>
    </r>
  </si>
  <si>
    <r>
      <t>1</t>
    </r>
    <r>
      <rPr>
        <sz val="10"/>
        <color theme="1"/>
        <rFont val="Arial"/>
        <family val="2"/>
      </rPr>
      <t xml:space="preserve"> Layers from outside: Attic air, R38 batt insulation with 2x4 framing with 7% framing fraction, ½” drywall</t>
    </r>
  </si>
  <si>
    <t>lathe</t>
  </si>
  <si>
    <t>0.5 Inch Plywood Exterior</t>
  </si>
  <si>
    <t>Prescriptive Calculation for the Proposed and Standard Reference Home Located in Miami Florida (ASHRAE Climate Zone 1)</t>
  </si>
  <si>
    <t xml:space="preserve">Prescriptive Test: House M01 (Pr-M01) Characteristics – Location: Miami, Florida. </t>
  </si>
  <si>
    <r>
      <t>Wall 1 –faces North, CBS</t>
    </r>
    <r>
      <rPr>
        <vertAlign val="superscript"/>
        <sz val="10"/>
        <color theme="1"/>
        <rFont val="Arial"/>
        <family val="2"/>
      </rPr>
      <t>2</t>
    </r>
  </si>
  <si>
    <r>
      <t>Wall 4 –faces South, Wood</t>
    </r>
    <r>
      <rPr>
        <vertAlign val="superscript"/>
        <sz val="10"/>
        <color theme="1"/>
        <rFont val="Arial"/>
        <family val="2"/>
      </rPr>
      <t>3</t>
    </r>
    <r>
      <rPr>
        <sz val="10"/>
        <color theme="1"/>
        <rFont val="Arial"/>
        <family val="2"/>
      </rPr>
      <t xml:space="preserve"> 2x4 Stud</t>
    </r>
  </si>
  <si>
    <t>Single Family Detached Home with No Attached Garage, Single Story, Three bedroom.</t>
  </si>
  <si>
    <t>Ducts – Return in Conditioned Space</t>
  </si>
  <si>
    <t>Air Handler – in Conditioned Space</t>
  </si>
  <si>
    <r>
      <rPr>
        <b/>
        <sz val="10"/>
        <color rgb="FFC00000"/>
        <rFont val="Arial"/>
        <family val="2"/>
      </rPr>
      <t xml:space="preserve"> R</t>
    </r>
    <r>
      <rPr>
        <b/>
        <sz val="10"/>
        <color rgb="FFFF0000"/>
        <rFont val="Arial"/>
        <family val="2"/>
      </rPr>
      <t>ed type illustrates rows with differences from M01</t>
    </r>
  </si>
  <si>
    <t xml:space="preserve">Single Family Detached Home with No Attached Garage, Single Story, Three bedroom. </t>
  </si>
  <si>
    <t>Less than required efficiency</t>
  </si>
  <si>
    <r>
      <t>House Volume = 20,000ft</t>
    </r>
    <r>
      <rPr>
        <vertAlign val="superscript"/>
        <sz val="10"/>
        <color theme="1"/>
        <rFont val="Arial"/>
        <family val="2"/>
      </rPr>
      <t>3</t>
    </r>
    <r>
      <rPr>
        <sz val="10"/>
        <color theme="1"/>
        <rFont val="Arial"/>
        <family val="2"/>
      </rPr>
      <t xml:space="preserve"> </t>
    </r>
  </si>
  <si>
    <r>
      <t>Leakage cfm/ft</t>
    </r>
    <r>
      <rPr>
        <vertAlign val="superscript"/>
        <sz val="10"/>
        <color theme="1"/>
        <rFont val="Arial"/>
        <family val="2"/>
      </rPr>
      <t>2</t>
    </r>
    <r>
      <rPr>
        <sz val="10"/>
        <color theme="1"/>
        <rFont val="Arial"/>
        <family val="2"/>
      </rPr>
      <t xml:space="preserve"> post construction</t>
    </r>
  </si>
  <si>
    <t>Energy Factor (EF)</t>
  </si>
  <si>
    <t>Insulation R-Value</t>
  </si>
  <si>
    <t>Inside Insulation R-Value</t>
  </si>
  <si>
    <t>ACH50</t>
  </si>
  <si>
    <t>HSPF</t>
  </si>
  <si>
    <t>SEER</t>
  </si>
  <si>
    <t>Cavity Insulation R-Value</t>
  </si>
  <si>
    <t>Solar Absorptance</t>
  </si>
  <si>
    <t>Fixtures Compact Fluorescent, Percent</t>
  </si>
  <si>
    <t>U-Factor and SHGC</t>
  </si>
  <si>
    <t>Measures / Parameters</t>
  </si>
  <si>
    <t>Leakage Percent of Air Flow Rate Max</t>
  </si>
  <si>
    <t>Floor Insulation R-Value</t>
  </si>
  <si>
    <r>
      <t>75 ft</t>
    </r>
    <r>
      <rPr>
        <vertAlign val="superscript"/>
        <sz val="10"/>
        <color rgb="FFFF0000"/>
        <rFont val="Calibri"/>
        <family val="2"/>
        <scheme val="minor"/>
      </rPr>
      <t>2</t>
    </r>
  </si>
  <si>
    <r>
      <t>15 ft</t>
    </r>
    <r>
      <rPr>
        <vertAlign val="superscript"/>
        <sz val="10"/>
        <color rgb="FFFF0000"/>
        <rFont val="Calibri"/>
        <family val="2"/>
        <scheme val="minor"/>
      </rPr>
      <t>2</t>
    </r>
  </si>
  <si>
    <r>
      <t>60 ft</t>
    </r>
    <r>
      <rPr>
        <vertAlign val="superscript"/>
        <sz val="10"/>
        <color rgb="FFFF0000"/>
        <rFont val="Calibri"/>
        <family val="2"/>
        <scheme val="minor"/>
      </rPr>
      <t>2</t>
    </r>
  </si>
  <si>
    <t xml:space="preserve">Prescriptive Test: House M02 (Pr-M02) Characteristics – Location: Miami, Florida. </t>
  </si>
  <si>
    <t xml:space="preserve">Steel framed Wall Construction U-Value Calculation </t>
  </si>
  <si>
    <t>Steel frame wall layers from outside: stucco, ½” exterior plywood, 2x4 steel frame with R-13 fiberglass batt insulation with 16 " on center, and ½” drywall. Solar absorbtance = 0.5</t>
  </si>
  <si>
    <t>Inputs Data and Assumptions:</t>
  </si>
  <si>
    <t>Thickness, in</t>
  </si>
  <si>
    <t>R-Value, h·ft2·°F/Btu</t>
  </si>
  <si>
    <t>Stucco</t>
  </si>
  <si>
    <t>Cavity Insulation R-13</t>
  </si>
  <si>
    <t>Drywall 0.5 Inch</t>
  </si>
  <si>
    <t>Metal Studs Depth</t>
  </si>
  <si>
    <t>Studs Center to Center Spacing</t>
  </si>
  <si>
    <t>Studs Flange Facing Width</t>
  </si>
  <si>
    <t>2013 ASHRAE HBF, Page 27.5</t>
  </si>
  <si>
    <t>Studs Metal Thickness</t>
  </si>
  <si>
    <t>Steel Resistance</t>
  </si>
  <si>
    <t>h·ft2·°F/Btu</t>
  </si>
  <si>
    <r>
      <t>Step 1: Determine Zone Factor, Z</t>
    </r>
    <r>
      <rPr>
        <vertAlign val="subscript"/>
        <sz val="11"/>
        <color theme="1"/>
        <rFont val="Calibri"/>
        <family val="2"/>
        <scheme val="minor"/>
      </rPr>
      <t>f</t>
    </r>
  </si>
  <si>
    <t xml:space="preserve">Element </t>
  </si>
  <si>
    <t xml:space="preserve">Value </t>
  </si>
  <si>
    <t>in</t>
  </si>
  <si>
    <t>h·ft2·°F/Btu-in</t>
  </si>
  <si>
    <t>Step 2: Calculate width of Affected Zone W:</t>
  </si>
  <si>
    <t>Thickness of Exterior Insulating Materials</t>
  </si>
  <si>
    <t xml:space="preserve">Step 3. Calculate the exterior and interior thermal resistances, using information from step 1 </t>
  </si>
  <si>
    <t>Exterior materials</t>
  </si>
  <si>
    <t>Step 4. Calculate the thermal resistance of the sections in zone around the metal element</t>
  </si>
  <si>
    <t>h·ft2·°F/Btu·in</t>
  </si>
  <si>
    <t>Calculate the constributing Resistances:</t>
  </si>
  <si>
    <t>Assembly R-Value (without the air film resistances)</t>
  </si>
  <si>
    <t>Assembly U-Value</t>
  </si>
  <si>
    <t xml:space="preserve">Stud spacing, s </t>
  </si>
  <si>
    <t>Resistivity of Stucco, ri</t>
  </si>
  <si>
    <t>Resistivity of Plywood, ri</t>
  </si>
  <si>
    <t>Resistivity of cavity insulation, rins</t>
  </si>
  <si>
    <t>Ratio, ri /rins</t>
  </si>
  <si>
    <t>Zone factor from chart (Stud of 3.5 depth), Zf</t>
  </si>
  <si>
    <r>
      <t>Sum of resistances of exterior materials, R</t>
    </r>
    <r>
      <rPr>
        <vertAlign val="subscript"/>
        <sz val="11"/>
        <color theme="1"/>
        <rFont val="Calibri"/>
        <family val="2"/>
        <scheme val="minor"/>
      </rPr>
      <t>A</t>
    </r>
  </si>
  <si>
    <r>
      <t>Thickness of interior material, d</t>
    </r>
    <r>
      <rPr>
        <vertAlign val="subscript"/>
        <sz val="11"/>
        <color theme="1"/>
        <rFont val="Calibri"/>
        <family val="2"/>
        <scheme val="minor"/>
      </rPr>
      <t>j</t>
    </r>
  </si>
  <si>
    <r>
      <t>Resistivity of interior material, r</t>
    </r>
    <r>
      <rPr>
        <vertAlign val="subscript"/>
        <sz val="11"/>
        <color theme="1"/>
        <rFont val="Calibri"/>
        <family val="2"/>
        <scheme val="minor"/>
      </rPr>
      <t>j</t>
    </r>
  </si>
  <si>
    <r>
      <t>Resistance of interior material, R</t>
    </r>
    <r>
      <rPr>
        <vertAlign val="subscript"/>
        <sz val="11"/>
        <color theme="1"/>
        <rFont val="Calibri"/>
        <family val="2"/>
        <scheme val="minor"/>
      </rPr>
      <t>B</t>
    </r>
  </si>
  <si>
    <r>
      <t>Thickness of first exterior material, d</t>
    </r>
    <r>
      <rPr>
        <vertAlign val="subscript"/>
        <sz val="11"/>
        <color theme="1"/>
        <rFont val="Calibri"/>
        <family val="2"/>
        <scheme val="minor"/>
      </rPr>
      <t xml:space="preserve">e </t>
    </r>
  </si>
  <si>
    <r>
      <t>Resistivity of first exterior material, r</t>
    </r>
    <r>
      <rPr>
        <vertAlign val="subscript"/>
        <sz val="11"/>
        <color theme="1"/>
        <rFont val="Calibri"/>
        <family val="2"/>
        <scheme val="minor"/>
      </rPr>
      <t xml:space="preserve">e  </t>
    </r>
  </si>
  <si>
    <t>Affected Zone Thickness, W</t>
  </si>
  <si>
    <t>Flange Length (Facing width), L</t>
  </si>
  <si>
    <r>
      <t>Interior Dimension Between Metal Flanges, d</t>
    </r>
    <r>
      <rPr>
        <vertAlign val="subscript"/>
        <sz val="11"/>
        <color theme="1"/>
        <rFont val="Calibri"/>
        <family val="2"/>
        <scheme val="minor"/>
      </rPr>
      <t>I</t>
    </r>
  </si>
  <si>
    <r>
      <t>Thickness of Metal Flanges (both Sides), d</t>
    </r>
    <r>
      <rPr>
        <vertAlign val="subscript"/>
        <sz val="11"/>
        <color theme="1"/>
        <rFont val="Calibri"/>
        <family val="2"/>
        <scheme val="minor"/>
      </rPr>
      <t>II</t>
    </r>
  </si>
  <si>
    <r>
      <t>Cavity Thickness, d</t>
    </r>
    <r>
      <rPr>
        <vertAlign val="subscript"/>
        <sz val="11"/>
        <color theme="1"/>
        <rFont val="Calibri"/>
        <family val="2"/>
        <scheme val="minor"/>
      </rPr>
      <t>s</t>
    </r>
  </si>
  <si>
    <r>
      <t>Resistance of Insulation Section I (Rins, I), d</t>
    </r>
    <r>
      <rPr>
        <vertAlign val="subscript"/>
        <sz val="11"/>
        <color theme="1"/>
        <rFont val="Calibri"/>
        <family val="2"/>
        <scheme val="minor"/>
      </rPr>
      <t>xri, I</t>
    </r>
  </si>
  <si>
    <r>
      <t>Resistance of Insulation Section I (Rins, II), d</t>
    </r>
    <r>
      <rPr>
        <vertAlign val="subscript"/>
        <sz val="11"/>
        <color theme="1"/>
        <rFont val="Calibri"/>
        <family val="2"/>
        <scheme val="minor"/>
      </rPr>
      <t>xri, II</t>
    </r>
  </si>
  <si>
    <r>
      <t>Resistance of Metal Section I (Rmet, I), d</t>
    </r>
    <r>
      <rPr>
        <vertAlign val="subscript"/>
        <sz val="11"/>
        <color theme="1"/>
        <rFont val="Calibri"/>
        <family val="2"/>
        <scheme val="minor"/>
      </rPr>
      <t>xrmet, I</t>
    </r>
  </si>
  <si>
    <r>
      <t>Resistance of Metal Section II (Rmet, II), d</t>
    </r>
    <r>
      <rPr>
        <vertAlign val="subscript"/>
        <sz val="11"/>
        <color theme="1"/>
        <rFont val="Calibri"/>
        <family val="2"/>
        <scheme val="minor"/>
      </rPr>
      <t>xrmet, II</t>
    </r>
  </si>
  <si>
    <r>
      <t>Resistivity of Metal , r</t>
    </r>
    <r>
      <rPr>
        <vertAlign val="subscript"/>
        <sz val="11"/>
        <color theme="1"/>
        <rFont val="Calibri"/>
        <family val="2"/>
        <scheme val="minor"/>
      </rPr>
      <t>met</t>
    </r>
  </si>
  <si>
    <r>
      <t>Ressistance at Web, R</t>
    </r>
    <r>
      <rPr>
        <vertAlign val="subscript"/>
        <sz val="11"/>
        <color theme="1"/>
        <rFont val="Calibri"/>
        <family val="2"/>
        <scheme val="minor"/>
      </rPr>
      <t>I</t>
    </r>
    <r>
      <rPr>
        <sz val="11"/>
        <color theme="1"/>
        <rFont val="Calibri"/>
        <family val="2"/>
        <scheme val="minor"/>
      </rPr>
      <t xml:space="preserve"> </t>
    </r>
  </si>
  <si>
    <r>
      <t>Ressistance at flange, R</t>
    </r>
    <r>
      <rPr>
        <vertAlign val="subscript"/>
        <sz val="11"/>
        <color theme="1"/>
        <rFont val="Calibri"/>
        <family val="2"/>
        <scheme val="minor"/>
      </rPr>
      <t>II</t>
    </r>
  </si>
  <si>
    <r>
      <t xml:space="preserve">Sum of Resistances at cavity, </t>
    </r>
    <r>
      <rPr>
        <sz val="11"/>
        <color theme="1"/>
        <rFont val="Symbol"/>
        <family val="1"/>
        <charset val="2"/>
      </rPr>
      <t>å</t>
    </r>
    <r>
      <rPr>
        <sz val="11"/>
        <color theme="1"/>
        <rFont val="Calibri"/>
        <family val="2"/>
        <scheme val="minor"/>
      </rPr>
      <t>R</t>
    </r>
    <r>
      <rPr>
        <vertAlign val="subscript"/>
        <sz val="11"/>
        <color theme="1"/>
        <rFont val="Calibri"/>
        <family val="2"/>
        <scheme val="minor"/>
      </rPr>
      <t>cav</t>
    </r>
  </si>
  <si>
    <r>
      <t xml:space="preserve">Sum of Resistances at Zone W, </t>
    </r>
    <r>
      <rPr>
        <sz val="11"/>
        <color theme="1"/>
        <rFont val="Symbol"/>
        <family val="1"/>
        <charset val="2"/>
      </rPr>
      <t>å</t>
    </r>
    <r>
      <rPr>
        <sz val="11"/>
        <color theme="1"/>
        <rFont val="Calibri"/>
        <family val="2"/>
        <scheme val="minor"/>
      </rPr>
      <t>R</t>
    </r>
    <r>
      <rPr>
        <vertAlign val="subscript"/>
        <sz val="11"/>
        <color theme="1"/>
        <rFont val="Calibri"/>
        <family val="2"/>
        <scheme val="minor"/>
      </rPr>
      <t>W</t>
    </r>
  </si>
  <si>
    <t>Cavity Depth</t>
  </si>
  <si>
    <t>Stucco Thickness</t>
  </si>
  <si>
    <t>Stucco Resistance</t>
  </si>
  <si>
    <t>Thickness, Inch</t>
  </si>
  <si>
    <t>Layers and Frame Materials</t>
  </si>
  <si>
    <t xml:space="preserve">Steall Framed Wall </t>
  </si>
  <si>
    <t>Steel stud 2x4, 16 Inch on Center, Depth</t>
  </si>
  <si>
    <t>Layers from outside: Air, R19 batt insulation and 2x6 trusses with 15% framing fraction, ¾” plywood, R2 carpet</t>
  </si>
  <si>
    <t>RaisedFloor</t>
  </si>
  <si>
    <t>Fraction of Floor Area</t>
  </si>
  <si>
    <t>Crawl Space Air film</t>
  </si>
  <si>
    <t>Batt Insulation (R19)</t>
  </si>
  <si>
    <t>Wood Stud 2 x 6: Nominal</t>
  </si>
  <si>
    <t>Plywood 0.75 Inch</t>
  </si>
  <si>
    <t>Carpet (R2)</t>
  </si>
  <si>
    <t>Floor Framing Fraction</t>
  </si>
  <si>
    <t>Construction: Raised Floor</t>
  </si>
  <si>
    <t>Ceiling Wood Framing Fraction</t>
  </si>
  <si>
    <r>
      <t>2</t>
    </r>
    <r>
      <rPr>
        <sz val="10"/>
        <color theme="1"/>
        <rFont val="Times New Roman"/>
        <family val="1"/>
      </rPr>
      <t xml:space="preserve"> CBS layers from outside: stucco, lathe, 8” normal density hollow core concrete block, 1 inch R6  insulation board, ¾” airspace with furring at 16” on center, and ½” drywall. Solar absorbtance = 0.5.</t>
    </r>
  </si>
  <si>
    <r>
      <t xml:space="preserve">3 </t>
    </r>
    <r>
      <rPr>
        <sz val="10"/>
        <color theme="1"/>
        <rFont val="Times New Roman"/>
        <family val="1"/>
      </rPr>
      <t>Wood frame wall layers from outside: stucco, ½” exterior plywood, 2x4 frame with R-13 fiberglass batt insulation with a 25% total framing fraction, and ½” drywall. Solar absorbtance = 0.5.</t>
    </r>
  </si>
  <si>
    <t>Hollow Concrete Block</t>
  </si>
  <si>
    <t>Construction: Hollow Concrete Block</t>
  </si>
  <si>
    <t xml:space="preserve">        Door 1 </t>
  </si>
  <si>
    <t xml:space="preserve">        Window 1 – Metal Frame Double Clear</t>
  </si>
  <si>
    <t>1 Layers from outside: Attic air, R38 batt insulation with 2x4 framing with 7% framing fraction, ½” drywall</t>
  </si>
  <si>
    <t>Window Metal Frame Double Clear</t>
  </si>
  <si>
    <t>Window Metal Frame Single Pane</t>
  </si>
  <si>
    <r>
      <t>Ceiling</t>
    </r>
    <r>
      <rPr>
        <vertAlign val="superscript"/>
        <sz val="10"/>
        <color rgb="FFFF0000"/>
        <rFont val="Calibri"/>
        <family val="2"/>
        <scheme val="minor"/>
      </rPr>
      <t>1</t>
    </r>
    <r>
      <rPr>
        <sz val="10"/>
        <color rgb="FFFF0000"/>
        <rFont val="Calibri"/>
        <family val="2"/>
        <scheme val="minor"/>
      </rPr>
      <t xml:space="preserve"> –flat under attic</t>
    </r>
  </si>
  <si>
    <r>
      <t>2000 ft</t>
    </r>
    <r>
      <rPr>
        <vertAlign val="superscript"/>
        <sz val="10"/>
        <color rgb="FFFF0000"/>
        <rFont val="Calibri"/>
        <family val="2"/>
        <scheme val="minor"/>
      </rPr>
      <t>2</t>
    </r>
  </si>
  <si>
    <r>
      <t>Wall 1 –faces North, Wood Frame</t>
    </r>
    <r>
      <rPr>
        <vertAlign val="superscript"/>
        <sz val="10"/>
        <color rgb="FFFF0000"/>
        <rFont val="Calibri"/>
        <family val="2"/>
        <scheme val="minor"/>
      </rPr>
      <t>2</t>
    </r>
  </si>
  <si>
    <t>SHGC, Solar Absorptance, CI R-Value</t>
  </si>
  <si>
    <r>
      <t>1</t>
    </r>
    <r>
      <rPr>
        <sz val="10"/>
        <color theme="1"/>
        <rFont val="Arial"/>
        <family val="2"/>
      </rPr>
      <t xml:space="preserve"> Layers from outside: Attic air, R30 batt insulation with 2x4 framing with 7% framing fraction, ½” drywall</t>
    </r>
  </si>
  <si>
    <t>Cavity + Continuous Insulation R-Value</t>
  </si>
  <si>
    <r>
      <t>24 ft</t>
    </r>
    <r>
      <rPr>
        <vertAlign val="superscript"/>
        <sz val="10"/>
        <color rgb="FFFF0000"/>
        <rFont val="Arial"/>
        <family val="2"/>
      </rPr>
      <t>2</t>
    </r>
  </si>
  <si>
    <r>
      <t>75 ft</t>
    </r>
    <r>
      <rPr>
        <vertAlign val="superscript"/>
        <sz val="10"/>
        <color rgb="FFFF0000"/>
        <rFont val="Arial"/>
        <family val="2"/>
      </rPr>
      <t>2</t>
    </r>
  </si>
  <si>
    <r>
      <t>15 ft</t>
    </r>
    <r>
      <rPr>
        <vertAlign val="superscript"/>
        <sz val="10"/>
        <color rgb="FFFF0000"/>
        <rFont val="Arial"/>
        <family val="2"/>
      </rPr>
      <t>2</t>
    </r>
  </si>
  <si>
    <r>
      <t>Wall 4 –faces South, Wood</t>
    </r>
    <r>
      <rPr>
        <vertAlign val="superscript"/>
        <sz val="10"/>
        <color theme="1"/>
        <rFont val="Arial"/>
        <family val="2"/>
      </rPr>
      <t>3</t>
    </r>
    <r>
      <rPr>
        <sz val="10"/>
        <color theme="1"/>
        <rFont val="Arial"/>
        <family val="2"/>
      </rPr>
      <t xml:space="preserve"> 2x4 Studs</t>
    </r>
  </si>
  <si>
    <r>
      <t>60 ft</t>
    </r>
    <r>
      <rPr>
        <vertAlign val="superscript"/>
        <sz val="10"/>
        <color rgb="FFFF0000"/>
        <rFont val="Arial"/>
        <family val="2"/>
      </rPr>
      <t>2</t>
    </r>
  </si>
  <si>
    <r>
      <t>2</t>
    </r>
    <r>
      <rPr>
        <sz val="10"/>
        <color theme="1"/>
        <rFont val="Arial"/>
        <family val="2"/>
      </rPr>
      <t xml:space="preserve"> CBS layers from outside: stucco, lathe, 8” normal density hollow core concrete block, 1 inch R6  insulation board, ¾” airspace with furring at 16” on center, and ½” drywall. Solar absorbtance = 0.5.</t>
    </r>
  </si>
  <si>
    <r>
      <t xml:space="preserve">3 </t>
    </r>
    <r>
      <rPr>
        <sz val="10"/>
        <color theme="1"/>
        <rFont val="Arial"/>
        <family val="2"/>
      </rPr>
      <t>Wood frame wall layers from outside: stucco, ½” exterior plywood, 2x4 frame with R-13 fiberglass batt insulation with a 25% total framing fraction, and ½” drywall. Solar absorbtance = 0.5</t>
    </r>
  </si>
  <si>
    <t>Measures</t>
  </si>
  <si>
    <t>Compliance Parameters</t>
  </si>
  <si>
    <r>
      <t>Raised Floor</t>
    </r>
    <r>
      <rPr>
        <vertAlign val="superscript"/>
        <sz val="10"/>
        <rFont val="Arial"/>
        <family val="2"/>
      </rPr>
      <t>1</t>
    </r>
  </si>
  <si>
    <r>
      <t>2000 ft</t>
    </r>
    <r>
      <rPr>
        <vertAlign val="superscript"/>
        <sz val="10"/>
        <color rgb="FFFF0000"/>
        <rFont val="Arial"/>
        <family val="2"/>
      </rPr>
      <t>2</t>
    </r>
    <r>
      <rPr>
        <sz val="10"/>
        <color rgb="FFFF0000"/>
        <rFont val="Arial"/>
        <family val="2"/>
      </rPr>
      <t xml:space="preserve"> </t>
    </r>
  </si>
  <si>
    <r>
      <t>Ceiling</t>
    </r>
    <r>
      <rPr>
        <vertAlign val="superscript"/>
        <sz val="10"/>
        <rFont val="Arial"/>
        <family val="2"/>
      </rPr>
      <t>2</t>
    </r>
    <r>
      <rPr>
        <sz val="10"/>
        <rFont val="Arial"/>
        <family val="2"/>
      </rPr>
      <t xml:space="preserve"> –flat under attic</t>
    </r>
  </si>
  <si>
    <r>
      <t>Wall 1 –faces North, Steel Frame</t>
    </r>
    <r>
      <rPr>
        <vertAlign val="superscript"/>
        <sz val="10"/>
        <rFont val="Arial"/>
        <family val="2"/>
      </rPr>
      <t>3</t>
    </r>
  </si>
  <si>
    <r>
      <t>Wall 4 –faces South, Wood</t>
    </r>
    <r>
      <rPr>
        <vertAlign val="superscript"/>
        <sz val="10"/>
        <rFont val="Arial"/>
        <family val="2"/>
      </rPr>
      <t>4</t>
    </r>
    <r>
      <rPr>
        <sz val="10"/>
        <rFont val="Arial"/>
        <family val="2"/>
      </rPr>
      <t xml:space="preserve"> 2x4 </t>
    </r>
  </si>
  <si>
    <r>
      <rPr>
        <b/>
        <sz val="10"/>
        <color rgb="FFC00000"/>
        <rFont val="Arial"/>
        <family val="2"/>
      </rPr>
      <t xml:space="preserve"> R</t>
    </r>
    <r>
      <rPr>
        <b/>
        <sz val="10"/>
        <color rgb="FFFF0000"/>
        <rFont val="Arial"/>
        <family val="2"/>
      </rPr>
      <t>ed type illustrates rows with differences from T01</t>
    </r>
  </si>
  <si>
    <t>Asphalt Building Paper #30 (equivalent)</t>
  </si>
  <si>
    <t>2012 ASHRAE HBF Table 1, Page 26.8</t>
  </si>
  <si>
    <r>
      <rPr>
        <vertAlign val="superscript"/>
        <sz val="10"/>
        <color theme="1"/>
        <rFont val="Arial"/>
        <family val="2"/>
      </rPr>
      <t>2</t>
    </r>
    <r>
      <rPr>
        <sz val="10"/>
        <color theme="1"/>
        <rFont val="Arial"/>
        <family val="2"/>
      </rPr>
      <t xml:space="preserve"> Wood frame wall layers from outside: synthetic stucco applied over R5 rigid insulation, #30 asphalt building paper, ½” exterior plywood, 2x4 frame with R-13 fiberglass batt insulation with a 25% total framing fraction, and ½” drywall. Solar absorbtance = 0.5</t>
    </r>
  </si>
  <si>
    <t>Prescriptive Calculation for the Proposed and Standard Reference Home Located in Tampa Florida (ASHRAE Climate Zone 2)</t>
  </si>
  <si>
    <t xml:space="preserve">Prescriptive Test: House T01 (Pr-T01) Characteristics – Location: Tampa, Florida. </t>
  </si>
  <si>
    <t xml:space="preserve">Prescriptive Test: House T02 (Pr-T02) Characteristics – Location: Tampa, Florida. </t>
  </si>
  <si>
    <t xml:space="preserve">Prescriptive Test: House T03 (Pr-T03) Characteristics – Location: Tampa, Florida. </t>
  </si>
  <si>
    <t>Duct Insulation R-Value</t>
  </si>
  <si>
    <t>Ceiling Wood-Framed</t>
  </si>
  <si>
    <t>Wall Steel-Framed</t>
  </si>
  <si>
    <r>
      <t>Wall 1 –faces North, insulated core CBS</t>
    </r>
    <r>
      <rPr>
        <vertAlign val="superscript"/>
        <sz val="10"/>
        <color rgb="FFFF0000"/>
        <rFont val="Arial"/>
        <family val="2"/>
      </rPr>
      <t>2</t>
    </r>
  </si>
  <si>
    <t>Wall 2 –faces East, insulated core CBS</t>
  </si>
  <si>
    <t>Wall 3 –faces South,  insulated core CBS</t>
  </si>
  <si>
    <t>Wall 5 –faces West,  insulated core CBS</t>
  </si>
  <si>
    <t xml:space="preserve">EnergyGauge USA </t>
  </si>
  <si>
    <t>*</t>
  </si>
  <si>
    <t>revised test result entry</t>
  </si>
  <si>
    <t>Windows</t>
  </si>
  <si>
    <t>Walls</t>
  </si>
  <si>
    <t>Doors</t>
  </si>
  <si>
    <t>Floors</t>
  </si>
  <si>
    <t>Total Resistances of Assumbly</t>
  </si>
  <si>
    <t>Total U-Values of Assembly</t>
  </si>
  <si>
    <t>Roof outside film R-Value</t>
  </si>
  <si>
    <t>Roof Skin R-Value</t>
  </si>
  <si>
    <t>Roof Inside Film Slope Down R-Value</t>
  </si>
  <si>
    <t>R-Value of the Parallel Paths</t>
  </si>
  <si>
    <t>The Stud and Cavity Sections are Combined using Parallel Path</t>
  </si>
  <si>
    <t>Ceiling + Roof</t>
  </si>
  <si>
    <t>Wood Framed Ceiling Plus Uninsulated Roof</t>
  </si>
  <si>
    <t>Original Value was 0.034</t>
  </si>
  <si>
    <t>Original Value was 0.040</t>
  </si>
  <si>
    <t>Rob you testing calculation moved here</t>
  </si>
  <si>
    <t>2013 ASHRAE HBF Table 1, Page 26.8-9</t>
  </si>
  <si>
    <t>Fraction of Ceiling Frame Area</t>
  </si>
  <si>
    <t>egusa</t>
  </si>
  <si>
    <t>Series</t>
  </si>
  <si>
    <t>Type Can't Comply</t>
  </si>
  <si>
    <t>May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</si>
</sst>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00"/>
    <numFmt numFmtId="165" formatCode="0.0"/>
    <numFmt numFmtId="166" formatCode="0.0000"/>
    <numFmt numFmtId="167" formatCode="0.0%"/>
    <numFmt numFmtId="168" formatCode="0.00000"/>
    <numFmt numFmtId="169" formatCode="0.0E+00"/>
  </numFmts>
  <fonts count="42" x14ac:knownFonts="1">
    <font>
      <sz val="11"/>
      <color theme="1"/>
      <name val="Calibri"/>
      <family val="2"/>
      <scheme val="minor"/>
    </font>
    <font>
      <sz val="10"/>
      <color theme="1"/>
      <name val="Calibri"/>
      <family val="2"/>
      <scheme val="minor"/>
    </font>
    <font>
      <vertAlign val="superscript"/>
      <sz val="10"/>
      <color theme="1"/>
      <name val="Calibri"/>
      <family val="2"/>
      <scheme val="minor"/>
    </font>
    <font>
      <b/>
      <sz val="11"/>
      <color theme="1"/>
      <name val="Calibri"/>
      <family val="2"/>
      <scheme val="minor"/>
    </font>
    <font>
      <b/>
      <sz val="11"/>
      <color rgb="FFFF0000"/>
      <name val="Calibri"/>
      <family val="2"/>
      <scheme val="minor"/>
    </font>
    <font>
      <sz val="20"/>
      <color theme="1"/>
      <name val="Calibri"/>
      <family val="2"/>
      <scheme val="minor"/>
    </font>
    <font>
      <b/>
      <sz val="20"/>
      <color rgb="FFFF0000"/>
      <name val="Calibri"/>
      <family val="2"/>
      <scheme val="minor"/>
    </font>
    <font>
      <sz val="11"/>
      <name val="Calibri"/>
      <family val="2"/>
      <scheme val="minor"/>
    </font>
    <font>
      <b/>
      <sz val="11"/>
      <name val="Calibri"/>
      <family val="2"/>
      <scheme val="minor"/>
    </font>
    <font>
      <sz val="11"/>
      <color theme="1"/>
      <name val="Calibri"/>
      <family val="2"/>
      <scheme val="minor"/>
    </font>
    <font>
      <sz val="11"/>
      <color rgb="FFFF0000"/>
      <name val="Calibri"/>
      <family val="2"/>
      <scheme val="minor"/>
    </font>
    <font>
      <b/>
      <sz val="11"/>
      <color rgb="FF000066"/>
      <name val="Calibri"/>
      <family val="2"/>
      <scheme val="minor"/>
    </font>
    <font>
      <sz val="10"/>
      <color theme="1"/>
      <name val="Arial"/>
      <family val="2"/>
    </font>
    <font>
      <sz val="11"/>
      <color rgb="FF000066"/>
      <name val="Calibri"/>
      <family val="2"/>
      <scheme val="minor"/>
    </font>
    <font>
      <b/>
      <sz val="11"/>
      <color rgb="FF000066"/>
      <name val="Arial"/>
      <family val="2"/>
    </font>
    <font>
      <b/>
      <sz val="12"/>
      <color rgb="FFFF0000"/>
      <name val="Calibri"/>
      <family val="2"/>
      <scheme val="minor"/>
    </font>
    <font>
      <sz val="10"/>
      <color rgb="FF000066"/>
      <name val="Arial"/>
      <family val="2"/>
    </font>
    <font>
      <vertAlign val="superscript"/>
      <sz val="10"/>
      <color theme="1"/>
      <name val="Arial"/>
      <family val="2"/>
    </font>
    <font>
      <sz val="10"/>
      <color rgb="FFFF0000"/>
      <name val="Arial"/>
      <family val="2"/>
    </font>
    <font>
      <vertAlign val="superscript"/>
      <sz val="10"/>
      <color rgb="FFFF0000"/>
      <name val="Arial"/>
      <family val="2"/>
    </font>
    <font>
      <b/>
      <sz val="10"/>
      <color rgb="FF000066"/>
      <name val="Arial"/>
      <family val="2"/>
    </font>
    <font>
      <sz val="10"/>
      <name val="Arial"/>
      <family val="2"/>
    </font>
    <font>
      <b/>
      <sz val="10"/>
      <color theme="1"/>
      <name val="Arial"/>
      <family val="2"/>
    </font>
    <font>
      <b/>
      <sz val="10"/>
      <color rgb="FFFF0000"/>
      <name val="Arial"/>
      <family val="2"/>
    </font>
    <font>
      <b/>
      <sz val="10"/>
      <color rgb="FFC00000"/>
      <name val="Arial"/>
      <family val="2"/>
    </font>
    <font>
      <vertAlign val="superscript"/>
      <sz val="11"/>
      <color theme="1"/>
      <name val="Calibri"/>
      <family val="2"/>
      <scheme val="minor"/>
    </font>
    <font>
      <vertAlign val="superscript"/>
      <sz val="10"/>
      <color theme="1"/>
      <name val="Times New Roman"/>
      <family val="1"/>
    </font>
    <font>
      <sz val="10"/>
      <color theme="1"/>
      <name val="Times New Roman"/>
      <family val="1"/>
    </font>
    <font>
      <sz val="10"/>
      <color rgb="FFFF0000"/>
      <name val="Calibri"/>
      <family val="2"/>
      <scheme val="minor"/>
    </font>
    <font>
      <vertAlign val="superscript"/>
      <sz val="10"/>
      <color rgb="FFFF0000"/>
      <name val="Calibri"/>
      <family val="2"/>
      <scheme val="minor"/>
    </font>
    <font>
      <sz val="10"/>
      <color rgb="FFC00000"/>
      <name val="Arial"/>
      <family val="2"/>
    </font>
    <font>
      <vertAlign val="subscript"/>
      <sz val="11"/>
      <color theme="1"/>
      <name val="Calibri"/>
      <family val="2"/>
      <scheme val="minor"/>
    </font>
    <font>
      <sz val="11"/>
      <color theme="1"/>
      <name val="Symbol"/>
      <family val="1"/>
      <charset val="2"/>
    </font>
    <font>
      <sz val="11"/>
      <color theme="1"/>
      <name val="Calibri"/>
      <family val="2"/>
    </font>
    <font>
      <sz val="11"/>
      <color theme="1"/>
      <name val="Arial"/>
      <family val="2"/>
    </font>
    <font>
      <vertAlign val="superscript"/>
      <sz val="11"/>
      <color theme="1"/>
      <name val="Arial"/>
      <family val="2"/>
    </font>
    <font>
      <sz val="9"/>
      <color indexed="81"/>
      <name val="Tahoma"/>
      <family val="2"/>
    </font>
    <font>
      <b/>
      <sz val="11"/>
      <color theme="1"/>
      <name val="Arial"/>
      <family val="2"/>
    </font>
    <font>
      <vertAlign val="superscript"/>
      <sz val="10"/>
      <name val="Arial"/>
      <family val="2"/>
    </font>
    <font>
      <b/>
      <sz val="12"/>
      <color rgb="FF000066"/>
      <name val="Calibri"/>
      <family val="2"/>
      <scheme val="minor"/>
    </font>
    <font>
      <sz val="11"/>
      <color rgb="FFC00000"/>
      <name val="Calibri"/>
      <family val="2"/>
      <scheme val="minor"/>
    </font>
    <font>
      <vertAlign val="superscript"/>
      <sz val="14"/>
      <color theme="1"/>
      <name val="Times New Roman"/>
      <family val="1"/>
    </font>
  </fonts>
  <fills count="15">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4"/>
        <bgColor indexed="64"/>
      </patternFill>
    </fill>
    <fill>
      <patternFill patternType="solid">
        <fgColor theme="9" tint="0.79998168889431442"/>
        <bgColor indexed="64"/>
      </patternFill>
    </fill>
    <fill>
      <patternFill patternType="solid">
        <fgColor theme="5"/>
        <bgColor indexed="64"/>
      </patternFill>
    </fill>
    <fill>
      <patternFill patternType="solid">
        <fgColor rgb="FF7030A0"/>
        <bgColor indexed="64"/>
      </patternFill>
    </fill>
    <fill>
      <patternFill patternType="solid">
        <fgColor theme="0" tint="-0.249977111117893"/>
        <bgColor indexed="64"/>
      </patternFill>
    </fill>
    <fill>
      <patternFill patternType="solid">
        <fgColor rgb="FFB8CCE4"/>
        <bgColor indexed="64"/>
      </patternFill>
    </fill>
    <fill>
      <patternFill patternType="solid">
        <fgColor rgb="FFBDD6EE"/>
        <bgColor indexed="64"/>
      </patternFill>
    </fill>
    <fill>
      <patternFill patternType="solid">
        <fgColor rgb="FFFFC000"/>
        <bgColor indexed="64"/>
      </patternFill>
    </fill>
    <fill>
      <patternFill patternType="solid">
        <fgColor theme="0"/>
        <bgColor indexed="64"/>
      </patternFill>
    </fill>
    <fill>
      <patternFill patternType="solid">
        <fgColor rgb="FFFF0000"/>
        <bgColor indexed="64"/>
      </patternFill>
    </fill>
    <fill>
      <patternFill patternType="solid">
        <fgColor theme="0" tint="-0.499984740745262"/>
        <bgColor indexed="64"/>
      </patternFill>
    </fill>
  </fills>
  <borders count="4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top style="double">
        <color indexed="64"/>
      </top>
      <bottom/>
      <diagonal/>
    </border>
    <border>
      <left style="thin">
        <color indexed="64"/>
      </left>
      <right/>
      <top/>
      <bottom/>
      <diagonal/>
    </border>
    <border>
      <left style="double">
        <color indexed="64"/>
      </left>
      <right/>
      <top/>
      <bottom/>
      <diagonal/>
    </border>
    <border>
      <left/>
      <right style="double">
        <color indexed="64"/>
      </right>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s>
  <cellStyleXfs count="2">
    <xf numFmtId="0" fontId="0" fillId="0" borderId="0"/>
    <xf numFmtId="9" fontId="9" fillId="0" borderId="0" applyFont="0" applyFill="0" applyBorder="0" applyAlignment="0" applyProtection="0"/>
  </cellStyleXfs>
  <cellXfs count="538">
    <xf numFmtId="0" fontId="0" fillId="0" borderId="0" xfId="0"/>
    <xf numFmtId="0" fontId="0" fillId="2" borderId="0" xfId="0" applyFill="1"/>
    <xf numFmtId="0" fontId="0" fillId="4" borderId="0" xfId="0" applyFill="1"/>
    <xf numFmtId="0" fontId="0" fillId="5" borderId="0" xfId="0" applyFill="1"/>
    <xf numFmtId="0" fontId="3" fillId="0" borderId="0" xfId="0" applyFont="1"/>
    <xf numFmtId="0" fontId="1" fillId="0" borderId="0" xfId="0" applyFont="1" applyBorder="1" applyAlignment="1">
      <alignment vertical="center" wrapText="1"/>
    </xf>
    <xf numFmtId="0" fontId="0" fillId="0" borderId="0" xfId="0" applyFill="1" applyBorder="1" applyAlignment="1">
      <alignment horizontal="center"/>
    </xf>
    <xf numFmtId="0" fontId="0" fillId="0" borderId="0" xfId="0" applyFill="1" applyBorder="1"/>
    <xf numFmtId="0" fontId="0" fillId="3" borderId="0" xfId="0" applyFill="1"/>
    <xf numFmtId="0" fontId="0" fillId="0" borderId="0" xfId="0" quotePrefix="1"/>
    <xf numFmtId="0" fontId="3" fillId="0" borderId="0" xfId="0" applyFont="1" applyAlignment="1">
      <alignment horizontal="center"/>
    </xf>
    <xf numFmtId="0" fontId="4" fillId="0" borderId="0" xfId="0" applyFont="1" applyAlignment="1">
      <alignment horizontal="center"/>
    </xf>
    <xf numFmtId="0" fontId="0" fillId="0" borderId="0" xfId="0" applyAlignment="1">
      <alignment horizontal="right"/>
    </xf>
    <xf numFmtId="0" fontId="0" fillId="6" borderId="0" xfId="0" applyFill="1"/>
    <xf numFmtId="0" fontId="0" fillId="7" borderId="0" xfId="0" applyFill="1"/>
    <xf numFmtId="0" fontId="5" fillId="0" borderId="0" xfId="0" applyFont="1" applyAlignment="1">
      <alignment horizontal="right"/>
    </xf>
    <xf numFmtId="0" fontId="6" fillId="0" borderId="0" xfId="0" applyFont="1" applyAlignment="1">
      <alignment horizontal="center"/>
    </xf>
    <xf numFmtId="0" fontId="0" fillId="6" borderId="0" xfId="0" applyFill="1" applyAlignment="1">
      <alignment horizontal="right"/>
    </xf>
    <xf numFmtId="0" fontId="4" fillId="6" borderId="0" xfId="0" applyFont="1" applyFill="1" applyAlignment="1">
      <alignment horizontal="center"/>
    </xf>
    <xf numFmtId="0" fontId="7" fillId="0" borderId="0" xfId="0" applyFont="1"/>
    <xf numFmtId="0" fontId="7" fillId="6" borderId="0" xfId="0" applyFont="1" applyFill="1"/>
    <xf numFmtId="0" fontId="7" fillId="4" borderId="0" xfId="0" applyFont="1" applyFill="1"/>
    <xf numFmtId="0" fontId="8" fillId="0" borderId="0" xfId="0" applyFont="1"/>
    <xf numFmtId="0" fontId="7" fillId="7" borderId="0" xfId="0" applyFont="1" applyFill="1"/>
    <xf numFmtId="0" fontId="5" fillId="0" borderId="0" xfId="0" applyFont="1" applyAlignment="1" applyProtection="1">
      <alignment horizontal="right"/>
      <protection locked="0"/>
    </xf>
    <xf numFmtId="0" fontId="0" fillId="4" borderId="0" xfId="0" applyFill="1" applyProtection="1">
      <protection locked="0"/>
    </xf>
    <xf numFmtId="0" fontId="0" fillId="0" borderId="0" xfId="0" applyProtection="1">
      <protection locked="0"/>
    </xf>
    <xf numFmtId="0" fontId="0" fillId="7" borderId="0" xfId="0" applyFill="1" applyProtection="1">
      <protection locked="0"/>
    </xf>
    <xf numFmtId="0" fontId="0" fillId="3" borderId="0" xfId="0" applyFill="1" applyProtection="1">
      <protection locked="0"/>
    </xf>
    <xf numFmtId="0" fontId="3" fillId="0" borderId="0" xfId="0" applyFont="1" applyAlignment="1" applyProtection="1">
      <alignment horizontal="center"/>
      <protection locked="0"/>
    </xf>
    <xf numFmtId="0" fontId="7" fillId="2" borderId="0" xfId="0" applyFont="1" applyFill="1"/>
    <xf numFmtId="0" fontId="7" fillId="5" borderId="0" xfId="0" applyFont="1" applyFill="1"/>
    <xf numFmtId="0" fontId="11" fillId="8" borderId="0" xfId="0" applyFont="1" applyFill="1" applyAlignment="1">
      <alignment vertical="center"/>
    </xf>
    <xf numFmtId="0" fontId="0" fillId="0" borderId="0" xfId="0" applyAlignment="1">
      <alignment vertical="center"/>
    </xf>
    <xf numFmtId="0" fontId="0" fillId="0" borderId="0" xfId="0" applyAlignment="1">
      <alignment horizontal="center" vertical="center"/>
    </xf>
    <xf numFmtId="0" fontId="0" fillId="0" borderId="8" xfId="0" applyBorder="1" applyAlignment="1">
      <alignment vertical="center"/>
    </xf>
    <xf numFmtId="0" fontId="0" fillId="0" borderId="10" xfId="0" applyBorder="1" applyAlignment="1">
      <alignment vertical="center"/>
    </xf>
    <xf numFmtId="0" fontId="0" fillId="0" borderId="8"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8" xfId="0" applyBorder="1" applyAlignment="1">
      <alignment vertical="center"/>
    </xf>
    <xf numFmtId="0" fontId="0" fillId="0" borderId="1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2" xfId="0" applyBorder="1" applyAlignment="1">
      <alignment horizontal="left" vertical="center"/>
    </xf>
    <xf numFmtId="0" fontId="0" fillId="0" borderId="23" xfId="0" applyBorder="1" applyAlignment="1">
      <alignment horizontal="center" vertical="center"/>
    </xf>
    <xf numFmtId="0" fontId="0" fillId="0" borderId="0" xfId="0" applyBorder="1" applyAlignment="1">
      <alignment horizontal="center" vertical="center"/>
    </xf>
    <xf numFmtId="0" fontId="0" fillId="0" borderId="24" xfId="0" applyBorder="1" applyAlignment="1">
      <alignment horizontal="center" vertical="center"/>
    </xf>
    <xf numFmtId="165" fontId="0" fillId="0" borderId="24" xfId="0" applyNumberFormat="1" applyBorder="1" applyAlignment="1">
      <alignment horizontal="center" vertical="center"/>
    </xf>
    <xf numFmtId="165" fontId="0" fillId="0" borderId="23" xfId="0" applyNumberFormat="1" applyBorder="1" applyAlignment="1">
      <alignment horizontal="center" vertical="center"/>
    </xf>
    <xf numFmtId="0" fontId="0" fillId="0" borderId="23" xfId="0" quotePrefix="1" applyBorder="1" applyAlignment="1">
      <alignment horizontal="center" vertical="center"/>
    </xf>
    <xf numFmtId="0" fontId="0" fillId="0" borderId="7" xfId="0" applyBorder="1" applyAlignment="1">
      <alignment horizontal="center" vertical="center"/>
    </xf>
    <xf numFmtId="0" fontId="0" fillId="0" borderId="25" xfId="0" applyBorder="1" applyAlignment="1">
      <alignment horizontal="center" vertical="center"/>
    </xf>
    <xf numFmtId="0" fontId="0" fillId="0" borderId="11" xfId="0"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13" fillId="8" borderId="11" xfId="0" applyFont="1" applyFill="1" applyBorder="1" applyAlignment="1">
      <alignment vertical="center"/>
    </xf>
    <xf numFmtId="0" fontId="11" fillId="8" borderId="29" xfId="0" applyFont="1" applyFill="1" applyBorder="1" applyAlignment="1">
      <alignment vertical="center"/>
    </xf>
    <xf numFmtId="0" fontId="0" fillId="0" borderId="31" xfId="0" applyBorder="1" applyAlignment="1">
      <alignment vertical="center"/>
    </xf>
    <xf numFmtId="0" fontId="13" fillId="0" borderId="0" xfId="0" applyFont="1" applyFill="1" applyBorder="1" applyAlignment="1">
      <alignment vertical="center"/>
    </xf>
    <xf numFmtId="0" fontId="11" fillId="0" borderId="0" xfId="0" applyFont="1" applyFill="1" applyBorder="1" applyAlignment="1">
      <alignment vertical="center"/>
    </xf>
    <xf numFmtId="0" fontId="0" fillId="0" borderId="0" xfId="0" applyFill="1" applyBorder="1" applyAlignment="1">
      <alignment vertical="center"/>
    </xf>
    <xf numFmtId="165" fontId="14" fillId="0" borderId="0" xfId="0" applyNumberFormat="1" applyFont="1" applyFill="1" applyBorder="1" applyAlignment="1">
      <alignment horizontal="center" vertical="center"/>
    </xf>
    <xf numFmtId="165" fontId="0" fillId="0" borderId="0" xfId="0" applyNumberFormat="1" applyFill="1" applyBorder="1" applyAlignment="1">
      <alignment horizontal="center" vertical="center"/>
    </xf>
    <xf numFmtId="166" fontId="15" fillId="0" borderId="0" xfId="0" applyNumberFormat="1" applyFont="1" applyFill="1" applyBorder="1" applyAlignment="1">
      <alignment horizontal="center" vertical="center"/>
    </xf>
    <xf numFmtId="167" fontId="0" fillId="0" borderId="0" xfId="1" applyNumberFormat="1" applyFont="1" applyAlignment="1">
      <alignment horizontal="center" vertical="center"/>
    </xf>
    <xf numFmtId="0" fontId="0" fillId="0" borderId="0" xfId="0" applyBorder="1" applyAlignment="1">
      <alignment vertical="center"/>
    </xf>
    <xf numFmtId="2" fontId="0" fillId="0" borderId="0" xfId="0" applyNumberFormat="1" applyAlignment="1">
      <alignment horizontal="center" vertical="center"/>
    </xf>
    <xf numFmtId="164" fontId="0" fillId="0" borderId="0" xfId="0" applyNumberFormat="1" applyAlignment="1">
      <alignment horizontal="center" vertical="center"/>
    </xf>
    <xf numFmtId="165" fontId="0" fillId="0" borderId="0" xfId="0" applyNumberFormat="1" applyAlignment="1">
      <alignment horizontal="center" vertical="center"/>
    </xf>
    <xf numFmtId="166" fontId="0" fillId="0" borderId="0" xfId="0" applyNumberFormat="1" applyAlignment="1">
      <alignment horizontal="center" vertical="center"/>
    </xf>
    <xf numFmtId="0" fontId="0" fillId="0" borderId="33" xfId="0" applyBorder="1" applyAlignment="1">
      <alignment vertical="center"/>
    </xf>
    <xf numFmtId="0" fontId="0" fillId="0" borderId="33" xfId="0" applyBorder="1" applyAlignment="1">
      <alignment horizontal="left" vertical="center"/>
    </xf>
    <xf numFmtId="0" fontId="1" fillId="0" borderId="33" xfId="0" applyFont="1" applyBorder="1" applyAlignment="1">
      <alignment horizontal="center" vertical="center" wrapText="1"/>
    </xf>
    <xf numFmtId="0" fontId="0" fillId="0" borderId="12" xfId="0" applyBorder="1" applyAlignment="1">
      <alignment horizontal="left" vertical="center"/>
    </xf>
    <xf numFmtId="0" fontId="0" fillId="0" borderId="34" xfId="0" applyBorder="1" applyAlignment="1">
      <alignment horizontal="center" vertical="center"/>
    </xf>
    <xf numFmtId="0" fontId="0" fillId="0" borderId="34" xfId="0" applyBorder="1" applyAlignment="1">
      <alignment horizontal="left" vertical="center"/>
    </xf>
    <xf numFmtId="0" fontId="0" fillId="0" borderId="34" xfId="0" applyBorder="1" applyAlignment="1">
      <alignment vertical="center"/>
    </xf>
    <xf numFmtId="0" fontId="0" fillId="0" borderId="22" xfId="0" applyBorder="1" applyAlignment="1">
      <alignment vertical="center"/>
    </xf>
    <xf numFmtId="0" fontId="0" fillId="0" borderId="35" xfId="0" applyBorder="1" applyAlignment="1">
      <alignment vertical="center"/>
    </xf>
    <xf numFmtId="0" fontId="0" fillId="0" borderId="36" xfId="0" applyBorder="1" applyAlignment="1">
      <alignment horizontal="center" vertical="center"/>
    </xf>
    <xf numFmtId="0" fontId="0" fillId="0" borderId="36" xfId="0" applyBorder="1" applyAlignment="1">
      <alignment horizontal="left" vertical="center"/>
    </xf>
    <xf numFmtId="0" fontId="0" fillId="0" borderId="7"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1" fillId="0" borderId="0" xfId="0" applyFont="1" applyAlignment="1">
      <alignment vertical="center" wrapText="1"/>
    </xf>
    <xf numFmtId="0" fontId="12" fillId="0" borderId="9" xfId="0" applyFont="1" applyBorder="1" applyAlignment="1">
      <alignment horizontal="left" vertical="center" wrapText="1"/>
    </xf>
    <xf numFmtId="2" fontId="13" fillId="0" borderId="34" xfId="0" applyNumberFormat="1" applyFont="1" applyBorder="1" applyAlignment="1">
      <alignment horizontal="center" vertical="center"/>
    </xf>
    <xf numFmtId="2" fontId="0" fillId="0" borderId="34" xfId="0" applyNumberFormat="1" applyBorder="1" applyAlignment="1">
      <alignment horizontal="center" vertical="center"/>
    </xf>
    <xf numFmtId="0" fontId="0" fillId="0" borderId="36" xfId="0" applyBorder="1" applyAlignment="1">
      <alignment vertical="center"/>
    </xf>
    <xf numFmtId="164" fontId="0" fillId="0" borderId="34" xfId="0" applyNumberFormat="1" applyBorder="1" applyAlignment="1">
      <alignment horizontal="center" vertical="center"/>
    </xf>
    <xf numFmtId="0" fontId="0" fillId="0" borderId="12" xfId="0" applyBorder="1" applyAlignment="1">
      <alignment vertical="center"/>
    </xf>
    <xf numFmtId="0" fontId="12" fillId="0" borderId="33" xfId="0" applyFont="1" applyBorder="1" applyAlignment="1">
      <alignment horizontal="left" vertical="center" wrapText="1"/>
    </xf>
    <xf numFmtId="0" fontId="12" fillId="0" borderId="33"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11" xfId="0" applyFont="1" applyBorder="1" applyAlignment="1">
      <alignment horizontal="center" vertical="center" wrapText="1"/>
    </xf>
    <xf numFmtId="0" fontId="13" fillId="0" borderId="22" xfId="0" applyFont="1" applyBorder="1" applyAlignment="1">
      <alignment horizontal="center" vertical="center"/>
    </xf>
    <xf numFmtId="164" fontId="13" fillId="0" borderId="11" xfId="0" applyNumberFormat="1" applyFont="1" applyBorder="1" applyAlignment="1">
      <alignment horizontal="center" vertical="center"/>
    </xf>
    <xf numFmtId="0" fontId="0" fillId="0" borderId="0" xfId="0" applyAlignment="1">
      <alignment horizontal="left" vertical="center"/>
    </xf>
    <xf numFmtId="0" fontId="0" fillId="2" borderId="1" xfId="0" applyFill="1" applyBorder="1" applyAlignment="1" applyProtection="1">
      <alignment horizontal="center" vertical="center"/>
      <protection locked="0"/>
    </xf>
    <xf numFmtId="164" fontId="0" fillId="2" borderId="1" xfId="0" applyNumberFormat="1" applyFill="1" applyBorder="1" applyAlignment="1" applyProtection="1">
      <alignment horizontal="center" vertical="center"/>
      <protection locked="0"/>
    </xf>
    <xf numFmtId="0" fontId="0" fillId="5" borderId="1" xfId="0" applyFill="1" applyBorder="1" applyAlignment="1">
      <alignment horizontal="center" vertical="center"/>
    </xf>
    <xf numFmtId="0" fontId="0" fillId="3" borderId="1" xfId="0" applyFill="1" applyBorder="1" applyAlignment="1">
      <alignment horizontal="center" vertical="center"/>
    </xf>
    <xf numFmtId="0" fontId="0" fillId="3" borderId="4" xfId="0" applyFill="1" applyBorder="1" applyAlignment="1">
      <alignment horizontal="center" vertical="center"/>
    </xf>
    <xf numFmtId="0" fontId="0" fillId="2" borderId="2" xfId="0" applyFill="1" applyBorder="1" applyAlignment="1" applyProtection="1">
      <alignment horizontal="center" vertical="center"/>
      <protection locked="0"/>
    </xf>
    <xf numFmtId="0" fontId="0" fillId="2" borderId="0" xfId="0" applyFill="1" applyAlignment="1" applyProtection="1">
      <alignment horizontal="center" vertical="center"/>
      <protection locked="0"/>
    </xf>
    <xf numFmtId="0" fontId="0" fillId="3" borderId="1"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2" borderId="0" xfId="0" applyFill="1" applyAlignment="1" applyProtection="1">
      <alignment horizontal="center" vertical="center"/>
      <protection locked="0"/>
    </xf>
    <xf numFmtId="0" fontId="7" fillId="0" borderId="0" xfId="0" applyFont="1" applyAlignment="1">
      <alignment vertical="center"/>
    </xf>
    <xf numFmtId="0" fontId="7" fillId="0" borderId="0" xfId="0" applyFont="1" applyAlignment="1">
      <alignment horizontal="left" vertical="center"/>
    </xf>
    <xf numFmtId="0" fontId="8" fillId="0" borderId="0" xfId="0" applyFont="1" applyAlignment="1">
      <alignment horizontal="center"/>
    </xf>
    <xf numFmtId="0" fontId="13" fillId="0" borderId="9" xfId="0" applyFont="1" applyBorder="1" applyAlignment="1">
      <alignment horizontal="center" vertical="center"/>
    </xf>
    <xf numFmtId="164" fontId="13" fillId="0" borderId="34" xfId="0" applyNumberFormat="1" applyFont="1" applyBorder="1" applyAlignment="1">
      <alignment horizontal="center" vertical="center"/>
    </xf>
    <xf numFmtId="165" fontId="13" fillId="0" borderId="34" xfId="0" applyNumberFormat="1" applyFont="1" applyBorder="1" applyAlignment="1">
      <alignment horizontal="center" vertical="center"/>
    </xf>
    <xf numFmtId="0" fontId="13" fillId="0" borderId="34" xfId="0" applyFont="1" applyBorder="1" applyAlignment="1">
      <alignment horizontal="center" vertical="center"/>
    </xf>
    <xf numFmtId="0" fontId="13" fillId="0" borderId="36" xfId="0" applyFont="1" applyBorder="1" applyAlignment="1">
      <alignment horizontal="center" vertical="center"/>
    </xf>
    <xf numFmtId="164" fontId="13" fillId="0" borderId="36" xfId="0" applyNumberFormat="1" applyFont="1" applyBorder="1" applyAlignment="1">
      <alignment horizontal="center" vertical="center"/>
    </xf>
    <xf numFmtId="0" fontId="16" fillId="0" borderId="9" xfId="0" applyFont="1" applyBorder="1" applyAlignment="1">
      <alignment horizontal="center" vertical="center" wrapText="1"/>
    </xf>
    <xf numFmtId="165" fontId="13" fillId="0" borderId="0" xfId="0" applyNumberFormat="1" applyFont="1" applyBorder="1" applyAlignment="1">
      <alignment horizontal="center" vertical="center"/>
    </xf>
    <xf numFmtId="164" fontId="13" fillId="0" borderId="5" xfId="0" applyNumberFormat="1" applyFont="1" applyBorder="1" applyAlignment="1">
      <alignment horizontal="center" vertical="center"/>
    </xf>
    <xf numFmtId="0" fontId="17" fillId="0" borderId="0" xfId="0" applyFont="1" applyAlignment="1">
      <alignment vertical="center"/>
    </xf>
    <xf numFmtId="0" fontId="12" fillId="0" borderId="0" xfId="0" applyFont="1" applyBorder="1" applyAlignment="1">
      <alignment horizontal="center" vertical="center" wrapText="1"/>
    </xf>
    <xf numFmtId="0" fontId="12" fillId="0" borderId="9" xfId="0" applyFont="1" applyBorder="1" applyAlignment="1">
      <alignment vertical="center"/>
    </xf>
    <xf numFmtId="0" fontId="12" fillId="0" borderId="34" xfId="0" applyFont="1" applyBorder="1" applyAlignment="1">
      <alignment vertical="center"/>
    </xf>
    <xf numFmtId="0" fontId="12" fillId="0" borderId="36" xfId="0" applyFont="1" applyBorder="1" applyAlignment="1">
      <alignment vertical="center"/>
    </xf>
    <xf numFmtId="0" fontId="12" fillId="0" borderId="0" xfId="0" applyFont="1" applyAlignment="1">
      <alignment horizontal="left" vertical="center"/>
    </xf>
    <xf numFmtId="0" fontId="16" fillId="0" borderId="8" xfId="0" applyFont="1" applyBorder="1" applyAlignment="1">
      <alignment horizontal="center" vertical="center" wrapText="1"/>
    </xf>
    <xf numFmtId="0" fontId="13" fillId="0" borderId="0" xfId="0" applyFont="1" applyBorder="1" applyAlignment="1">
      <alignment horizontal="center" vertical="center"/>
    </xf>
    <xf numFmtId="164" fontId="13" fillId="0" borderId="22" xfId="0" applyNumberFormat="1" applyFont="1" applyBorder="1" applyAlignment="1">
      <alignment horizontal="center" vertical="center"/>
    </xf>
    <xf numFmtId="2" fontId="13" fillId="0" borderId="22" xfId="0" applyNumberFormat="1" applyFont="1" applyBorder="1" applyAlignment="1">
      <alignment horizontal="center" vertical="center"/>
    </xf>
    <xf numFmtId="164" fontId="13" fillId="0" borderId="0" xfId="0" applyNumberFormat="1" applyFont="1" applyBorder="1" applyAlignment="1">
      <alignment horizontal="center" vertical="center"/>
    </xf>
    <xf numFmtId="165" fontId="13" fillId="0" borderId="11" xfId="0" applyNumberFormat="1" applyFont="1" applyBorder="1" applyAlignment="1">
      <alignment horizontal="center" vertical="center"/>
    </xf>
    <xf numFmtId="165" fontId="13" fillId="0" borderId="22" xfId="0" applyNumberFormat="1" applyFont="1" applyBorder="1" applyAlignment="1">
      <alignment horizontal="center" vertical="center"/>
    </xf>
    <xf numFmtId="0" fontId="16" fillId="0" borderId="37" xfId="0" applyFont="1" applyBorder="1" applyAlignment="1">
      <alignment horizontal="center" vertical="center" wrapText="1"/>
    </xf>
    <xf numFmtId="2" fontId="13" fillId="0" borderId="35" xfId="0" applyNumberFormat="1" applyFont="1" applyBorder="1" applyAlignment="1">
      <alignment horizontal="center" vertical="center"/>
    </xf>
    <xf numFmtId="165" fontId="13" fillId="0" borderId="35" xfId="0" applyNumberFormat="1" applyFont="1" applyBorder="1" applyAlignment="1">
      <alignment horizontal="center" vertical="center"/>
    </xf>
    <xf numFmtId="164" fontId="13" fillId="0" borderId="6" xfId="0" applyNumberFormat="1" applyFont="1" applyBorder="1" applyAlignment="1">
      <alignment horizontal="center" vertical="center"/>
    </xf>
    <xf numFmtId="0" fontId="0" fillId="0" borderId="37" xfId="0" applyBorder="1" applyAlignment="1">
      <alignment horizontal="center" vertical="center"/>
    </xf>
    <xf numFmtId="0" fontId="0" fillId="0" borderId="0" xfId="0" applyAlignment="1">
      <alignment horizontal="center" vertical="center" wrapText="1"/>
    </xf>
    <xf numFmtId="0" fontId="0" fillId="0" borderId="33" xfId="0" applyBorder="1" applyAlignment="1">
      <alignment horizontal="center" vertical="center" wrapText="1"/>
    </xf>
    <xf numFmtId="0" fontId="0" fillId="0" borderId="36" xfId="0" applyBorder="1" applyAlignment="1">
      <alignment horizontal="center" vertical="center" wrapText="1"/>
    </xf>
    <xf numFmtId="164" fontId="10" fillId="0" borderId="34" xfId="0" applyNumberFormat="1" applyFont="1" applyBorder="1" applyAlignment="1">
      <alignment horizontal="center" vertical="center"/>
    </xf>
    <xf numFmtId="2" fontId="0" fillId="0" borderId="36" xfId="0" applyNumberFormat="1" applyBorder="1" applyAlignment="1">
      <alignment horizontal="center" vertical="center"/>
    </xf>
    <xf numFmtId="0" fontId="12" fillId="0" borderId="33" xfId="0" applyFont="1" applyBorder="1" applyAlignment="1">
      <alignment vertical="center" wrapText="1"/>
    </xf>
    <xf numFmtId="165" fontId="12" fillId="0" borderId="33" xfId="0" applyNumberFormat="1" applyFont="1" applyBorder="1" applyAlignment="1">
      <alignment horizontal="center" vertical="center" wrapText="1"/>
    </xf>
    <xf numFmtId="0" fontId="18" fillId="0" borderId="33" xfId="0" applyFont="1" applyBorder="1" applyAlignment="1">
      <alignment vertical="center" wrapText="1"/>
    </xf>
    <xf numFmtId="165" fontId="18" fillId="0" borderId="33" xfId="0" applyNumberFormat="1" applyFont="1" applyBorder="1" applyAlignment="1">
      <alignment horizontal="center" vertical="center" wrapText="1"/>
    </xf>
    <xf numFmtId="0" fontId="18" fillId="0" borderId="33" xfId="0" applyFont="1" applyBorder="1" applyAlignment="1">
      <alignment horizontal="center" vertical="center" wrapText="1"/>
    </xf>
    <xf numFmtId="0" fontId="20" fillId="0" borderId="33" xfId="0" applyFont="1" applyBorder="1" applyAlignment="1">
      <alignment horizontal="center" vertical="center" wrapText="1"/>
    </xf>
    <xf numFmtId="165" fontId="16" fillId="0" borderId="33" xfId="0" applyNumberFormat="1" applyFont="1" applyBorder="1" applyAlignment="1">
      <alignment horizontal="center" vertical="center" wrapText="1"/>
    </xf>
    <xf numFmtId="0" fontId="21" fillId="0" borderId="33" xfId="0" applyFont="1" applyBorder="1" applyAlignment="1">
      <alignment horizontal="center" vertical="center" wrapText="1"/>
    </xf>
    <xf numFmtId="0" fontId="12" fillId="0" borderId="33" xfId="0" applyFont="1" applyBorder="1" applyAlignment="1">
      <alignment vertical="center" wrapText="1"/>
    </xf>
    <xf numFmtId="0" fontId="12" fillId="0" borderId="33" xfId="0" applyFont="1" applyBorder="1" applyAlignment="1">
      <alignment horizontal="center" vertical="center" wrapText="1"/>
    </xf>
    <xf numFmtId="0" fontId="12" fillId="0" borderId="0" xfId="0" applyFont="1" applyBorder="1" applyAlignment="1">
      <alignment vertical="center" wrapText="1"/>
    </xf>
    <xf numFmtId="0" fontId="12" fillId="0" borderId="0" xfId="0" applyFont="1"/>
    <xf numFmtId="0" fontId="22" fillId="0" borderId="0" xfId="0" applyFont="1" applyAlignment="1">
      <alignment vertical="center"/>
    </xf>
    <xf numFmtId="0" fontId="22" fillId="9" borderId="33" xfId="0" applyFont="1" applyFill="1" applyBorder="1" applyAlignment="1">
      <alignment vertical="center" wrapText="1"/>
    </xf>
    <xf numFmtId="0" fontId="22" fillId="9" borderId="33" xfId="0" applyFont="1" applyFill="1" applyBorder="1" applyAlignment="1">
      <alignment horizontal="center" vertical="center" wrapText="1"/>
    </xf>
    <xf numFmtId="0" fontId="12" fillId="0" borderId="0" xfId="0" applyFont="1" applyAlignment="1">
      <alignment horizontal="center" vertical="center"/>
    </xf>
    <xf numFmtId="0" fontId="12" fillId="0" borderId="33" xfId="0" applyFont="1" applyBorder="1" applyAlignment="1">
      <alignment horizontal="center" vertical="center"/>
    </xf>
    <xf numFmtId="0" fontId="12" fillId="0" borderId="33" xfId="0" applyFont="1" applyBorder="1" applyAlignment="1">
      <alignment horizontal="left" vertical="center"/>
    </xf>
    <xf numFmtId="0" fontId="12" fillId="0" borderId="0" xfId="0" applyFont="1" applyBorder="1" applyAlignment="1">
      <alignment horizontal="center" vertical="center"/>
    </xf>
    <xf numFmtId="0" fontId="12" fillId="0" borderId="34" xfId="0" applyFont="1" applyBorder="1" applyAlignment="1">
      <alignment horizontal="left" vertical="center"/>
    </xf>
    <xf numFmtId="0" fontId="12" fillId="0" borderId="5" xfId="0" applyFont="1" applyBorder="1" applyAlignment="1">
      <alignment horizontal="center" vertical="center"/>
    </xf>
    <xf numFmtId="0" fontId="12" fillId="0" borderId="0" xfId="0" applyFont="1" applyBorder="1" applyAlignment="1">
      <alignment vertical="center"/>
    </xf>
    <xf numFmtId="0" fontId="12" fillId="0" borderId="9" xfId="0" applyFont="1" applyBorder="1" applyAlignment="1">
      <alignment horizontal="center" vertical="center"/>
    </xf>
    <xf numFmtId="0" fontId="12" fillId="0" borderId="9" xfId="0" applyFont="1" applyBorder="1" applyAlignment="1">
      <alignment horizontal="left" vertical="center"/>
    </xf>
    <xf numFmtId="164" fontId="12" fillId="0" borderId="34" xfId="0" applyNumberFormat="1" applyFont="1" applyBorder="1" applyAlignment="1">
      <alignment horizontal="center" vertical="center"/>
    </xf>
    <xf numFmtId="165" fontId="12" fillId="0" borderId="34" xfId="0" applyNumberFormat="1" applyFont="1" applyBorder="1" applyAlignment="1">
      <alignment horizontal="center" vertical="center"/>
    </xf>
    <xf numFmtId="2" fontId="20" fillId="0" borderId="34" xfId="0" applyNumberFormat="1" applyFont="1" applyBorder="1" applyAlignment="1">
      <alignment horizontal="center" vertical="center"/>
    </xf>
    <xf numFmtId="0" fontId="12" fillId="0" borderId="34" xfId="0" applyFont="1" applyBorder="1" applyAlignment="1">
      <alignment horizontal="center" vertical="center"/>
    </xf>
    <xf numFmtId="0" fontId="12" fillId="0" borderId="36" xfId="0" applyFont="1" applyBorder="1" applyAlignment="1">
      <alignment horizontal="center" vertical="center"/>
    </xf>
    <xf numFmtId="0" fontId="12" fillId="0" borderId="0" xfId="0" applyFont="1" applyBorder="1"/>
    <xf numFmtId="164" fontId="12" fillId="0" borderId="0" xfId="0" applyNumberFormat="1" applyFont="1" applyBorder="1" applyAlignment="1">
      <alignment horizontal="center" vertical="center"/>
    </xf>
    <xf numFmtId="0" fontId="12" fillId="0" borderId="10" xfId="0" applyFont="1" applyBorder="1" applyAlignment="1">
      <alignment horizontal="center" vertical="center"/>
    </xf>
    <xf numFmtId="2" fontId="12" fillId="0" borderId="0" xfId="0" applyNumberFormat="1" applyFont="1" applyBorder="1" applyAlignment="1">
      <alignment horizontal="center" vertical="center"/>
    </xf>
    <xf numFmtId="164" fontId="12" fillId="0" borderId="34" xfId="0" applyNumberFormat="1" applyFont="1" applyBorder="1" applyAlignment="1">
      <alignment horizontal="left" vertical="center"/>
    </xf>
    <xf numFmtId="2" fontId="12" fillId="0" borderId="34" xfId="0" applyNumberFormat="1" applyFont="1" applyBorder="1" applyAlignment="1">
      <alignment horizontal="left" vertical="center"/>
    </xf>
    <xf numFmtId="1" fontId="12" fillId="0" borderId="0" xfId="0" applyNumberFormat="1" applyFont="1" applyBorder="1" applyAlignment="1">
      <alignment horizontal="center" vertical="center"/>
    </xf>
    <xf numFmtId="1" fontId="12" fillId="0" borderId="34" xfId="0" applyNumberFormat="1" applyFont="1" applyBorder="1" applyAlignment="1">
      <alignment horizontal="left" vertical="center"/>
    </xf>
    <xf numFmtId="0" fontId="12" fillId="0" borderId="36" xfId="0" applyFont="1" applyBorder="1" applyAlignment="1">
      <alignment horizontal="left" vertical="center"/>
    </xf>
    <xf numFmtId="0" fontId="12" fillId="0" borderId="10" xfId="0" applyFont="1" applyBorder="1" applyAlignment="1">
      <alignment vertical="center"/>
    </xf>
    <xf numFmtId="0" fontId="12" fillId="0" borderId="11" xfId="0" applyFont="1" applyBorder="1" applyAlignment="1">
      <alignment horizontal="center" vertical="center"/>
    </xf>
    <xf numFmtId="0" fontId="12" fillId="0" borderId="8" xfId="0" applyFont="1" applyBorder="1" applyAlignment="1">
      <alignment horizontal="left"/>
    </xf>
    <xf numFmtId="164" fontId="12" fillId="0" borderId="8" xfId="0" applyNumberFormat="1" applyFont="1" applyBorder="1" applyAlignment="1">
      <alignment horizontal="center" vertical="center"/>
    </xf>
    <xf numFmtId="0" fontId="12" fillId="0" borderId="22" xfId="0" applyFont="1" applyBorder="1" applyAlignment="1">
      <alignment horizontal="left"/>
    </xf>
    <xf numFmtId="164" fontId="12" fillId="0" borderId="22" xfId="0" applyNumberFormat="1" applyFont="1" applyBorder="1" applyAlignment="1">
      <alignment horizontal="center" vertical="center"/>
    </xf>
    <xf numFmtId="0" fontId="12" fillId="0" borderId="22" xfId="0" applyFont="1" applyBorder="1" applyAlignment="1">
      <alignment horizontal="center" vertical="center"/>
    </xf>
    <xf numFmtId="165" fontId="12" fillId="0" borderId="22" xfId="0" applyNumberFormat="1" applyFont="1" applyBorder="1" applyAlignment="1">
      <alignment horizontal="center" vertical="center"/>
    </xf>
    <xf numFmtId="2" fontId="12" fillId="0" borderId="22" xfId="0" applyNumberFormat="1" applyFont="1" applyBorder="1" applyAlignment="1">
      <alignment horizontal="center" vertical="center"/>
    </xf>
    <xf numFmtId="0" fontId="16" fillId="0" borderId="22" xfId="0" applyFont="1" applyBorder="1" applyAlignment="1">
      <alignment horizontal="center" vertical="center"/>
    </xf>
    <xf numFmtId="0" fontId="12" fillId="0" borderId="7" xfId="0" applyFont="1" applyBorder="1" applyAlignment="1">
      <alignment horizontal="left"/>
    </xf>
    <xf numFmtId="0" fontId="16" fillId="0" borderId="7" xfId="0" applyFont="1" applyBorder="1" applyAlignment="1">
      <alignment horizontal="center" vertical="center"/>
    </xf>
    <xf numFmtId="0" fontId="12" fillId="0" borderId="11" xfId="0" applyFont="1" applyBorder="1" applyAlignment="1">
      <alignment horizontal="left" vertical="center"/>
    </xf>
    <xf numFmtId="0" fontId="12" fillId="0" borderId="0" xfId="0" applyFont="1" applyAlignment="1">
      <alignment vertical="center"/>
    </xf>
    <xf numFmtId="165" fontId="13" fillId="0" borderId="23" xfId="0" applyNumberFormat="1" applyFont="1" applyBorder="1" applyAlignment="1">
      <alignment horizontal="center" vertical="center"/>
    </xf>
    <xf numFmtId="165" fontId="13" fillId="0" borderId="24" xfId="0" applyNumberFormat="1" applyFont="1" applyBorder="1" applyAlignment="1">
      <alignment horizontal="center" vertical="center"/>
    </xf>
    <xf numFmtId="0" fontId="13" fillId="0" borderId="24" xfId="0" applyFont="1" applyBorder="1" applyAlignment="1">
      <alignment horizontal="center" vertical="center"/>
    </xf>
    <xf numFmtId="165" fontId="13" fillId="0" borderId="26" xfId="0" applyNumberFormat="1" applyFont="1" applyBorder="1" applyAlignment="1">
      <alignment horizontal="center" vertical="center"/>
    </xf>
    <xf numFmtId="1" fontId="13" fillId="0" borderId="24" xfId="0" applyNumberFormat="1" applyFont="1" applyBorder="1" applyAlignment="1">
      <alignment horizontal="center" vertical="center"/>
    </xf>
    <xf numFmtId="164" fontId="13" fillId="0" borderId="23" xfId="0" applyNumberFormat="1" applyFont="1" applyBorder="1" applyAlignment="1">
      <alignment horizontal="center" vertical="center"/>
    </xf>
    <xf numFmtId="0" fontId="13" fillId="0" borderId="5" xfId="0" applyFont="1" applyBorder="1" applyAlignment="1">
      <alignment horizontal="center" vertical="center"/>
    </xf>
    <xf numFmtId="1" fontId="13" fillId="0" borderId="26" xfId="0" applyNumberFormat="1" applyFont="1" applyBorder="1" applyAlignment="1">
      <alignment horizontal="center" vertical="center"/>
    </xf>
    <xf numFmtId="164" fontId="13" fillId="0" borderId="25" xfId="0" applyNumberFormat="1" applyFont="1" applyBorder="1" applyAlignment="1">
      <alignment horizontal="center" vertical="center"/>
    </xf>
    <xf numFmtId="165" fontId="13" fillId="0" borderId="5" xfId="0" applyNumberFormat="1" applyFont="1" applyBorder="1" applyAlignment="1">
      <alignment horizontal="center" vertical="center"/>
    </xf>
    <xf numFmtId="2" fontId="13" fillId="0" borderId="0" xfId="0" applyNumberFormat="1" applyFont="1" applyAlignment="1">
      <alignment horizontal="center" vertical="center"/>
    </xf>
    <xf numFmtId="0" fontId="13" fillId="0" borderId="0" xfId="0" applyFont="1" applyAlignment="1">
      <alignment vertical="center"/>
    </xf>
    <xf numFmtId="164" fontId="13" fillId="0" borderId="0" xfId="0" applyNumberFormat="1" applyFont="1" applyAlignment="1">
      <alignment horizontal="center" vertical="center"/>
    </xf>
    <xf numFmtId="165" fontId="13" fillId="0" borderId="0" xfId="0" applyNumberFormat="1" applyFont="1" applyAlignment="1">
      <alignment horizontal="center" vertical="center"/>
    </xf>
    <xf numFmtId="166" fontId="13" fillId="0" borderId="0" xfId="0" applyNumberFormat="1" applyFont="1" applyAlignment="1">
      <alignment horizontal="center" vertical="center"/>
    </xf>
    <xf numFmtId="0" fontId="13" fillId="3" borderId="1" xfId="0" applyFont="1" applyFill="1" applyBorder="1" applyAlignment="1">
      <alignment horizontal="center" vertical="center"/>
    </xf>
    <xf numFmtId="0" fontId="13" fillId="3" borderId="1" xfId="0" applyFont="1" applyFill="1" applyBorder="1" applyAlignment="1" applyProtection="1">
      <alignment horizontal="center" vertical="center"/>
      <protection locked="0"/>
    </xf>
    <xf numFmtId="165" fontId="12" fillId="0" borderId="33" xfId="0" applyNumberFormat="1" applyFont="1" applyBorder="1" applyAlignment="1">
      <alignment horizontal="center" vertical="center" wrapText="1"/>
    </xf>
    <xf numFmtId="2" fontId="20" fillId="0" borderId="0" xfId="0" applyNumberFormat="1" applyFont="1" applyBorder="1" applyAlignment="1">
      <alignment horizontal="center" vertical="center"/>
    </xf>
    <xf numFmtId="165" fontId="20" fillId="0" borderId="0" xfId="0" applyNumberFormat="1" applyFont="1" applyBorder="1" applyAlignment="1">
      <alignment horizontal="center" vertical="center"/>
    </xf>
    <xf numFmtId="167" fontId="13" fillId="0" borderId="0" xfId="1" applyNumberFormat="1" applyFont="1" applyAlignment="1">
      <alignment horizontal="center" vertical="center"/>
    </xf>
    <xf numFmtId="0" fontId="13" fillId="0" borderId="0" xfId="0" applyFont="1" applyAlignment="1">
      <alignment horizontal="center" vertical="center"/>
    </xf>
    <xf numFmtId="0" fontId="13" fillId="0" borderId="8" xfId="0" applyFont="1" applyBorder="1" applyAlignment="1">
      <alignment horizontal="left" vertical="center"/>
    </xf>
    <xf numFmtId="0" fontId="13" fillId="0" borderId="22" xfId="0" applyFont="1" applyBorder="1" applyAlignment="1">
      <alignment horizontal="left" vertical="center"/>
    </xf>
    <xf numFmtId="0" fontId="13" fillId="0" borderId="7" xfId="0" applyFont="1" applyBorder="1" applyAlignment="1">
      <alignment horizontal="left" vertical="center"/>
    </xf>
    <xf numFmtId="0" fontId="13" fillId="0" borderId="8" xfId="0" applyFont="1" applyBorder="1" applyAlignment="1">
      <alignment vertical="center"/>
    </xf>
    <xf numFmtId="0" fontId="13" fillId="0" borderId="9" xfId="0" applyFont="1" applyBorder="1" applyAlignment="1">
      <alignment vertical="center"/>
    </xf>
    <xf numFmtId="0" fontId="13" fillId="0" borderId="8"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3" fillId="0" borderId="13" xfId="0" applyFont="1" applyBorder="1" applyAlignment="1">
      <alignment vertical="center"/>
    </xf>
    <xf numFmtId="0" fontId="13" fillId="0" borderId="14" xfId="0" applyFont="1" applyBorder="1" applyAlignment="1">
      <alignment horizontal="center" vertical="center"/>
    </xf>
    <xf numFmtId="0" fontId="16" fillId="0" borderId="15"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17" xfId="0" applyFont="1" applyBorder="1" applyAlignment="1">
      <alignment horizontal="center" vertical="center" wrapText="1"/>
    </xf>
    <xf numFmtId="0" fontId="13" fillId="0" borderId="34" xfId="0" applyFont="1" applyBorder="1" applyAlignment="1">
      <alignment vertical="center"/>
    </xf>
    <xf numFmtId="0" fontId="13" fillId="0" borderId="36" xfId="0" applyFont="1" applyBorder="1" applyAlignment="1">
      <alignment vertical="center"/>
    </xf>
    <xf numFmtId="0" fontId="11" fillId="8" borderId="11" xfId="0" applyFont="1" applyFill="1" applyBorder="1" applyAlignment="1">
      <alignment vertical="center"/>
    </xf>
    <xf numFmtId="0" fontId="0" fillId="8" borderId="12" xfId="0" applyFill="1" applyBorder="1" applyAlignment="1">
      <alignment vertical="center"/>
    </xf>
    <xf numFmtId="164" fontId="16" fillId="0" borderId="22" xfId="0" applyNumberFormat="1" applyFont="1" applyBorder="1" applyAlignment="1">
      <alignment horizontal="center" vertical="center"/>
    </xf>
    <xf numFmtId="165" fontId="12" fillId="0" borderId="12" xfId="0" applyNumberFormat="1" applyFont="1" applyBorder="1" applyAlignment="1">
      <alignment horizontal="center" vertical="center" wrapText="1"/>
    </xf>
    <xf numFmtId="165" fontId="16" fillId="0" borderId="12" xfId="0" applyNumberFormat="1" applyFont="1" applyBorder="1" applyAlignment="1">
      <alignment horizontal="center" vertical="center" wrapText="1"/>
    </xf>
    <xf numFmtId="0" fontId="25" fillId="0" borderId="0" xfId="0" applyFont="1" applyAlignment="1">
      <alignment vertical="center"/>
    </xf>
    <xf numFmtId="165" fontId="22" fillId="0" borderId="12" xfId="0" applyNumberFormat="1" applyFont="1" applyBorder="1" applyAlignment="1">
      <alignment horizontal="center" vertical="center" wrapText="1"/>
    </xf>
    <xf numFmtId="0" fontId="16" fillId="0" borderId="1" xfId="0" applyFont="1" applyBorder="1" applyAlignment="1">
      <alignment vertical="center" wrapText="1"/>
    </xf>
    <xf numFmtId="0" fontId="16" fillId="0" borderId="2" xfId="0" applyFont="1" applyBorder="1" applyAlignment="1">
      <alignment vertical="center" wrapText="1"/>
    </xf>
    <xf numFmtId="0" fontId="16" fillId="0" borderId="1" xfId="0" applyFont="1" applyFill="1" applyBorder="1" applyAlignment="1">
      <alignment vertical="center" wrapText="1"/>
    </xf>
    <xf numFmtId="0" fontId="11" fillId="0" borderId="0" xfId="0" applyFont="1"/>
    <xf numFmtId="0" fontId="14" fillId="0" borderId="0" xfId="0" applyFont="1"/>
    <xf numFmtId="165" fontId="21" fillId="0" borderId="12" xfId="0" applyNumberFormat="1" applyFont="1" applyBorder="1" applyAlignment="1">
      <alignment horizontal="center" vertical="center" wrapText="1"/>
    </xf>
    <xf numFmtId="9" fontId="12" fillId="0" borderId="12" xfId="1" applyFont="1" applyBorder="1" applyAlignment="1">
      <alignment horizontal="center" vertical="center" wrapText="1"/>
    </xf>
    <xf numFmtId="167" fontId="12" fillId="0" borderId="12" xfId="1" applyNumberFormat="1" applyFont="1" applyBorder="1" applyAlignment="1">
      <alignment horizontal="center" vertical="center" wrapText="1"/>
    </xf>
    <xf numFmtId="167" fontId="12" fillId="0" borderId="33" xfId="1" applyNumberFormat="1" applyFont="1" applyBorder="1" applyAlignment="1">
      <alignment horizontal="center" vertical="center" wrapText="1"/>
    </xf>
    <xf numFmtId="0" fontId="30" fillId="0" borderId="33" xfId="0" applyFont="1" applyBorder="1" applyAlignment="1">
      <alignment vertical="center" wrapText="1"/>
    </xf>
    <xf numFmtId="0" fontId="0" fillId="0" borderId="0" xfId="0"/>
    <xf numFmtId="0" fontId="1" fillId="0" borderId="0" xfId="0" applyFont="1" applyAlignment="1">
      <alignment vertical="center" wrapText="1"/>
    </xf>
    <xf numFmtId="0" fontId="0" fillId="0" borderId="0" xfId="0" applyAlignment="1">
      <alignment horizontal="left" vertical="center"/>
    </xf>
    <xf numFmtId="165" fontId="0" fillId="0" borderId="0" xfId="0" applyNumberFormat="1" applyAlignment="1">
      <alignment horizontal="center" vertical="center"/>
    </xf>
    <xf numFmtId="164" fontId="0" fillId="0" borderId="0" xfId="0" applyNumberFormat="1" applyAlignment="1">
      <alignment horizontal="center" vertical="center"/>
    </xf>
    <xf numFmtId="0" fontId="0" fillId="0" borderId="0" xfId="0" applyAlignment="1">
      <alignment horizontal="center" vertical="center"/>
    </xf>
    <xf numFmtId="0" fontId="0" fillId="0" borderId="22" xfId="0" applyBorder="1" applyAlignment="1">
      <alignment horizontal="center" vertical="center"/>
    </xf>
    <xf numFmtId="0" fontId="0" fillId="0" borderId="0" xfId="0" applyBorder="1" applyAlignment="1">
      <alignment horizontal="center" vertical="center"/>
    </xf>
    <xf numFmtId="0" fontId="0" fillId="0" borderId="35" xfId="0" applyBorder="1" applyAlignment="1">
      <alignment horizontal="center" vertical="center"/>
    </xf>
    <xf numFmtId="2" fontId="0" fillId="0" borderId="0" xfId="0" applyNumberFormat="1" applyBorder="1" applyAlignment="1">
      <alignment horizontal="center" vertical="center"/>
    </xf>
    <xf numFmtId="164" fontId="0" fillId="0" borderId="0" xfId="0" applyNumberFormat="1" applyBorder="1" applyAlignment="1">
      <alignment horizontal="center" vertical="center"/>
    </xf>
    <xf numFmtId="0" fontId="12" fillId="0" borderId="29"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33" xfId="0" applyFont="1" applyBorder="1" applyAlignment="1">
      <alignment horizontal="left" vertical="center" wrapText="1"/>
    </xf>
    <xf numFmtId="0" fontId="12" fillId="0" borderId="33" xfId="0" applyFont="1" applyBorder="1" applyAlignment="1">
      <alignment horizontal="center" vertical="center" wrapText="1"/>
    </xf>
    <xf numFmtId="0" fontId="0" fillId="0" borderId="34" xfId="0" applyBorder="1" applyAlignment="1">
      <alignment horizontal="center" vertical="center"/>
    </xf>
    <xf numFmtId="2" fontId="0" fillId="0" borderId="34" xfId="0" applyNumberFormat="1" applyBorder="1" applyAlignment="1">
      <alignment horizontal="center" vertical="center"/>
    </xf>
    <xf numFmtId="164" fontId="0" fillId="0" borderId="34" xfId="0" applyNumberFormat="1" applyBorder="1" applyAlignment="1">
      <alignment horizontal="center" vertical="center"/>
    </xf>
    <xf numFmtId="165" fontId="0" fillId="0" borderId="0" xfId="0" applyNumberFormat="1" applyBorder="1" applyAlignment="1">
      <alignment horizontal="center" vertical="center"/>
    </xf>
    <xf numFmtId="0" fontId="0" fillId="0" borderId="7" xfId="0" applyBorder="1" applyAlignment="1">
      <alignment horizontal="center" vertical="center"/>
    </xf>
    <xf numFmtId="0" fontId="0" fillId="0" borderId="33" xfId="0" applyBorder="1" applyAlignment="1">
      <alignment vertical="center"/>
    </xf>
    <xf numFmtId="0" fontId="0" fillId="0" borderId="11" xfId="0" applyBorder="1" applyAlignment="1">
      <alignment vertical="center"/>
    </xf>
    <xf numFmtId="0" fontId="0" fillId="0" borderId="9" xfId="0" applyBorder="1" applyAlignment="1">
      <alignment horizontal="center" vertical="center"/>
    </xf>
    <xf numFmtId="0" fontId="0" fillId="0" borderId="33" xfId="0" applyBorder="1" applyAlignment="1">
      <alignment horizontal="center" vertical="center"/>
    </xf>
    <xf numFmtId="0" fontId="0" fillId="0" borderId="36" xfId="0" applyBorder="1" applyAlignment="1">
      <alignment horizontal="center" vertical="center"/>
    </xf>
    <xf numFmtId="0" fontId="1" fillId="0" borderId="33" xfId="0" applyFont="1" applyBorder="1" applyAlignment="1">
      <alignment horizontal="center" vertical="center" wrapText="1"/>
    </xf>
    <xf numFmtId="0" fontId="0" fillId="0" borderId="9" xfId="0" applyBorder="1" applyAlignment="1">
      <alignment horizontal="left" vertical="center"/>
    </xf>
    <xf numFmtId="0" fontId="0" fillId="0" borderId="34" xfId="0" applyBorder="1" applyAlignment="1">
      <alignment horizontal="left" vertical="center"/>
    </xf>
    <xf numFmtId="0" fontId="0" fillId="0" borderId="36" xfId="0" applyBorder="1" applyAlignment="1">
      <alignment horizontal="left" vertical="center"/>
    </xf>
    <xf numFmtId="0" fontId="25" fillId="0" borderId="0" xfId="0" applyFont="1" applyAlignment="1">
      <alignment vertical="center"/>
    </xf>
    <xf numFmtId="2" fontId="7" fillId="0" borderId="0" xfId="0" applyNumberFormat="1" applyFont="1" applyBorder="1" applyAlignment="1">
      <alignment horizontal="center" vertical="center"/>
    </xf>
    <xf numFmtId="0" fontId="0" fillId="0" borderId="10" xfId="0" applyBorder="1" applyAlignment="1">
      <alignment horizontal="center" vertical="center"/>
    </xf>
    <xf numFmtId="0" fontId="12" fillId="0" borderId="11" xfId="0" applyFont="1" applyBorder="1" applyAlignment="1">
      <alignment horizontal="center" vertical="center" wrapText="1"/>
    </xf>
    <xf numFmtId="2" fontId="0" fillId="0" borderId="22" xfId="0" applyNumberFormat="1" applyBorder="1" applyAlignment="1">
      <alignment horizontal="center" vertical="center"/>
    </xf>
    <xf numFmtId="0" fontId="0" fillId="0" borderId="29" xfId="0" applyBorder="1" applyAlignment="1">
      <alignment horizontal="center" vertical="center"/>
    </xf>
    <xf numFmtId="0" fontId="0" fillId="0" borderId="8" xfId="0" applyBorder="1" applyAlignment="1">
      <alignment horizontal="left" vertical="center"/>
    </xf>
    <xf numFmtId="0" fontId="0" fillId="0" borderId="22" xfId="0" applyBorder="1" applyAlignment="1">
      <alignment horizontal="left" vertical="center"/>
    </xf>
    <xf numFmtId="0" fontId="0" fillId="0" borderId="7" xfId="0" applyBorder="1" applyAlignment="1">
      <alignment horizontal="left" vertical="center"/>
    </xf>
    <xf numFmtId="0" fontId="12" fillId="0" borderId="9" xfId="0" applyFont="1" applyBorder="1" applyAlignment="1">
      <alignment horizontal="left" vertical="center" wrapText="1"/>
    </xf>
    <xf numFmtId="0" fontId="12" fillId="0" borderId="10" xfId="0" applyFont="1" applyBorder="1" applyAlignment="1">
      <alignment horizontal="center" vertical="center" wrapText="1"/>
    </xf>
    <xf numFmtId="0" fontId="12" fillId="0" borderId="8" xfId="0" applyFont="1" applyBorder="1" applyAlignment="1">
      <alignment horizontal="center" vertical="center" wrapText="1"/>
    </xf>
    <xf numFmtId="2" fontId="13" fillId="0" borderId="0" xfId="0" applyNumberFormat="1" applyFont="1" applyBorder="1" applyAlignment="1">
      <alignment horizontal="center" vertical="center"/>
    </xf>
    <xf numFmtId="2" fontId="13" fillId="0" borderId="34" xfId="0" applyNumberFormat="1" applyFont="1" applyBorder="1" applyAlignment="1">
      <alignment horizontal="center" vertical="center"/>
    </xf>
    <xf numFmtId="0" fontId="0" fillId="0" borderId="33" xfId="0" applyBorder="1" applyAlignment="1">
      <alignment horizontal="left" vertical="center"/>
    </xf>
    <xf numFmtId="0" fontId="0" fillId="0" borderId="0" xfId="0" applyFill="1" applyBorder="1"/>
    <xf numFmtId="0" fontId="0" fillId="0" borderId="11" xfId="0" applyBorder="1" applyAlignment="1">
      <alignment horizontal="center" vertical="center"/>
    </xf>
    <xf numFmtId="0" fontId="0" fillId="0" borderId="12" xfId="0" applyBorder="1" applyAlignment="1">
      <alignment horizontal="center" vertical="center"/>
    </xf>
    <xf numFmtId="0" fontId="0" fillId="0" borderId="8" xfId="0" applyBorder="1" applyAlignment="1">
      <alignment horizontal="center" vertical="center"/>
    </xf>
    <xf numFmtId="0" fontId="0" fillId="0" borderId="37" xfId="0" applyBorder="1" applyAlignment="1">
      <alignment horizontal="center" vertical="center"/>
    </xf>
    <xf numFmtId="0" fontId="0" fillId="0" borderId="0" xfId="0" applyAlignment="1">
      <alignment vertical="center"/>
    </xf>
    <xf numFmtId="0" fontId="0" fillId="0" borderId="22" xfId="0" applyBorder="1" applyAlignment="1">
      <alignment vertical="center"/>
    </xf>
    <xf numFmtId="0" fontId="0" fillId="0" borderId="6" xfId="0" applyBorder="1" applyAlignment="1">
      <alignment horizontal="center" vertical="center"/>
    </xf>
    <xf numFmtId="169" fontId="0" fillId="0" borderId="0" xfId="0" applyNumberFormat="1" applyAlignment="1">
      <alignment horizontal="center" vertical="center"/>
    </xf>
    <xf numFmtId="0" fontId="0" fillId="0" borderId="8" xfId="0" quotePrefix="1" applyFill="1" applyBorder="1" applyAlignment="1">
      <alignment horizontal="left" vertical="center"/>
    </xf>
    <xf numFmtId="0" fontId="0" fillId="0" borderId="22" xfId="0" quotePrefix="1" applyFill="1" applyBorder="1" applyAlignment="1">
      <alignment horizontal="left" vertical="center"/>
    </xf>
    <xf numFmtId="0" fontId="0" fillId="0" borderId="38" xfId="0" applyBorder="1" applyAlignment="1">
      <alignment horizontal="center" vertical="center"/>
    </xf>
    <xf numFmtId="0" fontId="0" fillId="0" borderId="39" xfId="0" applyBorder="1" applyAlignment="1">
      <alignment horizontal="center" vertical="center"/>
    </xf>
    <xf numFmtId="2" fontId="0" fillId="0" borderId="35" xfId="0" applyNumberFormat="1" applyBorder="1" applyAlignment="1">
      <alignment horizontal="center" vertical="center"/>
    </xf>
    <xf numFmtId="0" fontId="0" fillId="0" borderId="12" xfId="0" applyBorder="1" applyAlignment="1">
      <alignment horizontal="center" vertical="center" wrapText="1"/>
    </xf>
    <xf numFmtId="0" fontId="0" fillId="0" borderId="11" xfId="0" applyBorder="1" applyAlignment="1">
      <alignment horizontal="center" vertical="center" wrapText="1"/>
    </xf>
    <xf numFmtId="0" fontId="0" fillId="0" borderId="8" xfId="0" applyBorder="1" applyAlignment="1">
      <alignment vertical="center"/>
    </xf>
    <xf numFmtId="0" fontId="0" fillId="0" borderId="10" xfId="0" applyBorder="1" applyAlignment="1">
      <alignment vertical="center"/>
    </xf>
    <xf numFmtId="0" fontId="0" fillId="0" borderId="37" xfId="0" applyBorder="1" applyAlignment="1">
      <alignment vertical="center"/>
    </xf>
    <xf numFmtId="0" fontId="0" fillId="0" borderId="34" xfId="0" applyBorder="1" applyAlignment="1">
      <alignment vertical="center"/>
    </xf>
    <xf numFmtId="0" fontId="0" fillId="0" borderId="0" xfId="0" applyBorder="1" applyAlignment="1">
      <alignment vertical="center"/>
    </xf>
    <xf numFmtId="0" fontId="0" fillId="0" borderId="35" xfId="0" applyBorder="1" applyAlignment="1">
      <alignment vertical="center"/>
    </xf>
    <xf numFmtId="0" fontId="0" fillId="0" borderId="7" xfId="0" applyBorder="1" applyAlignment="1">
      <alignment vertical="center"/>
    </xf>
    <xf numFmtId="0" fontId="0" fillId="0" borderId="36"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11" fillId="8" borderId="0" xfId="0" applyFont="1" applyFill="1" applyAlignment="1">
      <alignment vertical="center"/>
    </xf>
    <xf numFmtId="0" fontId="0" fillId="0" borderId="9" xfId="0" applyBorder="1" applyAlignment="1">
      <alignment vertical="center"/>
    </xf>
    <xf numFmtId="0" fontId="13" fillId="8" borderId="11" xfId="0" applyFont="1" applyFill="1" applyBorder="1" applyAlignment="1">
      <alignment vertical="center"/>
    </xf>
    <xf numFmtId="0" fontId="11" fillId="8" borderId="29" xfId="0" applyFont="1" applyFill="1" applyBorder="1" applyAlignment="1">
      <alignment vertical="center"/>
    </xf>
    <xf numFmtId="0" fontId="0" fillId="0" borderId="29" xfId="0" applyBorder="1" applyAlignment="1">
      <alignment vertical="center"/>
    </xf>
    <xf numFmtId="0" fontId="0" fillId="8" borderId="0" xfId="0" applyFill="1" applyAlignment="1">
      <alignment vertical="center"/>
    </xf>
    <xf numFmtId="0" fontId="7" fillId="0" borderId="34" xfId="0" applyFont="1" applyFill="1" applyBorder="1" applyAlignment="1">
      <alignment vertical="center"/>
    </xf>
    <xf numFmtId="0" fontId="7" fillId="0" borderId="34" xfId="0" applyFont="1" applyBorder="1" applyAlignment="1">
      <alignment vertical="center"/>
    </xf>
    <xf numFmtId="0" fontId="0" fillId="0" borderId="12" xfId="0" applyBorder="1" applyAlignment="1">
      <alignment vertical="center"/>
    </xf>
    <xf numFmtId="0" fontId="13" fillId="0" borderId="0" xfId="0" applyFont="1" applyFill="1" applyBorder="1" applyAlignment="1">
      <alignment vertical="center"/>
    </xf>
    <xf numFmtId="0" fontId="11" fillId="0" borderId="0" xfId="0" applyFont="1" applyFill="1" applyBorder="1" applyAlignment="1">
      <alignment vertical="center"/>
    </xf>
    <xf numFmtId="165" fontId="0" fillId="0" borderId="22" xfId="0" applyNumberFormat="1" applyBorder="1" applyAlignment="1">
      <alignment horizontal="center" vertical="center"/>
    </xf>
    <xf numFmtId="0" fontId="13" fillId="0" borderId="22" xfId="0" applyFont="1" applyBorder="1" applyAlignment="1">
      <alignment horizontal="center" vertical="center"/>
    </xf>
    <xf numFmtId="164" fontId="13" fillId="0" borderId="22" xfId="0" applyNumberFormat="1" applyFont="1" applyBorder="1" applyAlignment="1">
      <alignment horizontal="center" vertical="center"/>
    </xf>
    <xf numFmtId="164" fontId="13" fillId="0" borderId="11" xfId="0" applyNumberFormat="1" applyFont="1" applyBorder="1" applyAlignment="1">
      <alignment horizontal="center" vertical="center"/>
    </xf>
    <xf numFmtId="0" fontId="13" fillId="0" borderId="7" xfId="0" applyFont="1" applyBorder="1" applyAlignment="1">
      <alignment horizontal="center" vertical="center"/>
    </xf>
    <xf numFmtId="2" fontId="0" fillId="0" borderId="0" xfId="0" applyNumberFormat="1" applyAlignment="1">
      <alignment horizontal="center" vertical="center"/>
    </xf>
    <xf numFmtId="0" fontId="0" fillId="0" borderId="12" xfId="0" applyBorder="1" applyAlignment="1">
      <alignment horizontal="left" vertical="center"/>
    </xf>
    <xf numFmtId="0" fontId="0" fillId="0" borderId="0" xfId="0" applyBorder="1" applyAlignment="1">
      <alignment horizontal="right" vertical="center"/>
    </xf>
    <xf numFmtId="0" fontId="0" fillId="0" borderId="0" xfId="0" applyFill="1" applyAlignment="1">
      <alignment vertical="center"/>
    </xf>
    <xf numFmtId="0" fontId="0" fillId="0" borderId="8" xfId="0" applyFill="1" applyBorder="1" applyAlignment="1">
      <alignment vertical="center"/>
    </xf>
    <xf numFmtId="0" fontId="0" fillId="0" borderId="22" xfId="0" applyFill="1" applyBorder="1" applyAlignment="1">
      <alignment vertical="center"/>
    </xf>
    <xf numFmtId="0" fontId="0" fillId="0" borderId="0" xfId="0" applyFill="1" applyBorder="1" applyAlignment="1">
      <alignment horizontal="center" vertical="center"/>
    </xf>
    <xf numFmtId="164" fontId="0" fillId="0" borderId="0" xfId="0" applyNumberFormat="1" applyFill="1" applyBorder="1" applyAlignment="1">
      <alignment horizontal="center" vertical="center"/>
    </xf>
    <xf numFmtId="2" fontId="0" fillId="0" borderId="7" xfId="0" applyNumberFormat="1" applyBorder="1" applyAlignment="1">
      <alignment horizontal="center" vertical="center"/>
    </xf>
    <xf numFmtId="2" fontId="0" fillId="0" borderId="0" xfId="0" applyNumberFormat="1" applyFill="1" applyBorder="1" applyAlignment="1">
      <alignment horizontal="center" vertical="center"/>
    </xf>
    <xf numFmtId="0" fontId="0" fillId="0" borderId="33" xfId="0" applyFill="1" applyBorder="1" applyAlignment="1">
      <alignment horizontal="center" vertical="center"/>
    </xf>
    <xf numFmtId="0" fontId="0" fillId="0" borderId="0" xfId="0" applyFill="1" applyBorder="1" applyAlignment="1">
      <alignment horizontal="right" vertical="center"/>
    </xf>
    <xf numFmtId="166" fontId="0" fillId="0" borderId="0" xfId="0" applyNumberFormat="1" applyFill="1" applyBorder="1" applyAlignment="1">
      <alignment horizontal="center" vertical="center"/>
    </xf>
    <xf numFmtId="168" fontId="0" fillId="0" borderId="0" xfId="0" applyNumberFormat="1" applyFill="1" applyBorder="1" applyAlignment="1">
      <alignment horizontal="center" vertical="center"/>
    </xf>
    <xf numFmtId="0" fontId="12" fillId="0" borderId="0" xfId="0" applyFont="1" applyFill="1" applyBorder="1"/>
    <xf numFmtId="0" fontId="0" fillId="0" borderId="0" xfId="0" applyFill="1" applyBorder="1" applyAlignment="1">
      <alignment horizontal="left" vertical="center"/>
    </xf>
    <xf numFmtId="169" fontId="0" fillId="0" borderId="0" xfId="0" applyNumberFormat="1" applyFill="1" applyBorder="1" applyAlignment="1">
      <alignment horizontal="center" vertical="center"/>
    </xf>
    <xf numFmtId="0" fontId="0" fillId="0" borderId="0" xfId="0" quotePrefix="1" applyFill="1" applyBorder="1" applyAlignment="1">
      <alignment horizontal="left" vertical="center"/>
    </xf>
    <xf numFmtId="0" fontId="0" fillId="0" borderId="0" xfId="0" quotePrefix="1" applyFill="1" applyBorder="1" applyAlignment="1">
      <alignment horizontal="center" vertical="center"/>
    </xf>
    <xf numFmtId="0" fontId="33" fillId="0" borderId="0" xfId="0" applyFont="1" applyFill="1" applyBorder="1" applyAlignment="1">
      <alignment horizontal="center" vertical="center"/>
    </xf>
    <xf numFmtId="0" fontId="12" fillId="0" borderId="35" xfId="0" applyFont="1" applyBorder="1"/>
    <xf numFmtId="164" fontId="0" fillId="0" borderId="9" xfId="0" applyNumberFormat="1" applyFill="1" applyBorder="1" applyAlignment="1">
      <alignment horizontal="center" vertical="center"/>
    </xf>
    <xf numFmtId="0" fontId="0" fillId="0" borderId="8" xfId="0" applyBorder="1" applyAlignment="1">
      <alignment horizontal="center" vertical="center" wrapText="1"/>
    </xf>
    <xf numFmtId="165" fontId="0" fillId="0" borderId="8" xfId="0" applyNumberFormat="1" applyFill="1" applyBorder="1" applyAlignment="1">
      <alignment horizontal="center" vertical="center"/>
    </xf>
    <xf numFmtId="0" fontId="12" fillId="0" borderId="22" xfId="0" applyFont="1" applyBorder="1"/>
    <xf numFmtId="0" fontId="0" fillId="8" borderId="0" xfId="0" applyFill="1" applyBorder="1" applyAlignment="1">
      <alignment vertical="center"/>
    </xf>
    <xf numFmtId="0" fontId="12" fillId="0" borderId="9" xfId="0" applyFont="1" applyBorder="1"/>
    <xf numFmtId="165" fontId="11" fillId="0" borderId="34" xfId="0" applyNumberFormat="1" applyFont="1" applyBorder="1" applyAlignment="1">
      <alignment horizontal="center" vertical="center"/>
    </xf>
    <xf numFmtId="164" fontId="13" fillId="0" borderId="37" xfId="0" applyNumberFormat="1" applyFont="1" applyFill="1" applyBorder="1" applyAlignment="1">
      <alignment horizontal="center" vertical="center"/>
    </xf>
    <xf numFmtId="2" fontId="0" fillId="0" borderId="37" xfId="0" applyNumberFormat="1" applyBorder="1" applyAlignment="1">
      <alignment horizontal="center" vertical="center"/>
    </xf>
    <xf numFmtId="2" fontId="13" fillId="0" borderId="8" xfId="0" applyNumberFormat="1" applyFont="1" applyBorder="1" applyAlignment="1">
      <alignment horizontal="center" vertical="center"/>
    </xf>
    <xf numFmtId="2" fontId="13" fillId="0" borderId="8" xfId="0" applyNumberFormat="1" applyFont="1" applyFill="1" applyBorder="1" applyAlignment="1">
      <alignment horizontal="center" vertical="center"/>
    </xf>
    <xf numFmtId="0" fontId="34" fillId="0" borderId="0" xfId="0" applyFont="1" applyAlignment="1">
      <alignment vertical="center"/>
    </xf>
    <xf numFmtId="0" fontId="21" fillId="0" borderId="0" xfId="0" applyFont="1" applyAlignment="1">
      <alignment vertical="center" wrapText="1"/>
    </xf>
    <xf numFmtId="0" fontId="12" fillId="0" borderId="0" xfId="0" applyFont="1" applyBorder="1" applyAlignment="1">
      <alignment horizontal="left" vertical="center" wrapText="1"/>
    </xf>
    <xf numFmtId="0" fontId="7" fillId="0" borderId="0" xfId="0" applyFont="1" applyBorder="1" applyAlignment="1">
      <alignment vertical="center"/>
    </xf>
    <xf numFmtId="2" fontId="0" fillId="0" borderId="10" xfId="0" applyNumberFormat="1" applyBorder="1" applyAlignment="1">
      <alignment horizontal="center" vertical="center"/>
    </xf>
    <xf numFmtId="0" fontId="7" fillId="0" borderId="36" xfId="0" applyFont="1" applyBorder="1" applyAlignment="1">
      <alignment vertical="center"/>
    </xf>
    <xf numFmtId="2" fontId="7" fillId="0" borderId="5" xfId="0" applyNumberFormat="1" applyFont="1" applyBorder="1" applyAlignment="1">
      <alignment horizontal="center" vertical="center"/>
    </xf>
    <xf numFmtId="2" fontId="7" fillId="0" borderId="22" xfId="0" applyNumberFormat="1" applyFont="1" applyFill="1" applyBorder="1" applyAlignment="1">
      <alignment horizontal="center" vertical="center"/>
    </xf>
    <xf numFmtId="1" fontId="13" fillId="0" borderId="34" xfId="0" applyNumberFormat="1" applyFont="1" applyBorder="1" applyAlignment="1">
      <alignment horizontal="center" vertical="center"/>
    </xf>
    <xf numFmtId="1" fontId="13" fillId="0" borderId="0" xfId="0" applyNumberFormat="1" applyFont="1" applyFill="1" applyBorder="1" applyAlignment="1">
      <alignment horizontal="center" vertical="center"/>
    </xf>
    <xf numFmtId="2" fontId="13" fillId="0" borderId="34" xfId="0" applyNumberFormat="1" applyFont="1" applyFill="1" applyBorder="1" applyAlignment="1">
      <alignment horizontal="center" vertical="center"/>
    </xf>
    <xf numFmtId="0" fontId="13" fillId="0" borderId="22" xfId="0" applyFont="1" applyBorder="1" applyAlignment="1">
      <alignment vertical="center"/>
    </xf>
    <xf numFmtId="0" fontId="13" fillId="0" borderId="7" xfId="0" applyFont="1" applyBorder="1" applyAlignment="1">
      <alignment vertical="center"/>
    </xf>
    <xf numFmtId="0" fontId="13" fillId="0" borderId="19" xfId="0" applyFont="1" applyBorder="1" applyAlignment="1">
      <alignment horizontal="center" vertical="center"/>
    </xf>
    <xf numFmtId="0" fontId="13" fillId="0" borderId="20" xfId="0" applyFont="1" applyBorder="1" applyAlignment="1">
      <alignment horizontal="center" vertical="center"/>
    </xf>
    <xf numFmtId="164" fontId="13" fillId="0" borderId="18" xfId="0" applyNumberFormat="1" applyFont="1" applyBorder="1" applyAlignment="1">
      <alignment horizontal="center" vertical="center"/>
    </xf>
    <xf numFmtId="165" fontId="13" fillId="0" borderId="20" xfId="0" applyNumberFormat="1" applyFont="1" applyBorder="1" applyAlignment="1">
      <alignment horizontal="center" vertical="center"/>
    </xf>
    <xf numFmtId="164" fontId="13" fillId="0" borderId="10" xfId="0" applyNumberFormat="1" applyFont="1" applyBorder="1" applyAlignment="1">
      <alignment horizontal="center" vertical="center"/>
    </xf>
    <xf numFmtId="165" fontId="13" fillId="0" borderId="37" xfId="0" applyNumberFormat="1" applyFont="1" applyBorder="1" applyAlignment="1">
      <alignment horizontal="center" vertical="center"/>
    </xf>
    <xf numFmtId="164" fontId="7" fillId="0" borderId="34" xfId="0" applyNumberFormat="1" applyFont="1" applyBorder="1" applyAlignment="1">
      <alignment horizontal="center" vertical="center"/>
    </xf>
    <xf numFmtId="2" fontId="13" fillId="0" borderId="7" xfId="0" applyNumberFormat="1" applyFont="1" applyBorder="1" applyAlignment="1">
      <alignment horizontal="center" vertical="center"/>
    </xf>
    <xf numFmtId="166" fontId="13" fillId="0" borderId="8" xfId="0" applyNumberFormat="1" applyFont="1" applyBorder="1" applyAlignment="1">
      <alignment horizontal="center" vertical="center"/>
    </xf>
    <xf numFmtId="166" fontId="13" fillId="0" borderId="22" xfId="0" applyNumberFormat="1" applyFont="1" applyBorder="1" applyAlignment="1">
      <alignment horizontal="center" vertical="center"/>
    </xf>
    <xf numFmtId="169" fontId="13" fillId="0" borderId="7" xfId="0" applyNumberFormat="1" applyFont="1" applyBorder="1" applyAlignment="1">
      <alignment horizontal="center" vertical="center"/>
    </xf>
    <xf numFmtId="168" fontId="13" fillId="0" borderId="22" xfId="0" applyNumberFormat="1" applyFont="1" applyBorder="1" applyAlignment="1">
      <alignment horizontal="center" vertical="center"/>
    </xf>
    <xf numFmtId="164" fontId="13" fillId="0" borderId="7" xfId="0" applyNumberFormat="1" applyFont="1" applyBorder="1" applyAlignment="1">
      <alignment horizontal="center" vertical="center"/>
    </xf>
    <xf numFmtId="0" fontId="0" fillId="11" borderId="11" xfId="0" applyFill="1" applyBorder="1" applyAlignment="1">
      <alignment horizontal="center" vertical="center"/>
    </xf>
    <xf numFmtId="2" fontId="0" fillId="11" borderId="22" xfId="0" applyNumberFormat="1" applyFill="1" applyBorder="1" applyAlignment="1">
      <alignment horizontal="center" vertical="center"/>
    </xf>
    <xf numFmtId="0" fontId="14" fillId="8" borderId="0" xfId="0" applyFont="1" applyFill="1" applyBorder="1" applyAlignment="1">
      <alignment vertical="center"/>
    </xf>
    <xf numFmtId="0" fontId="11" fillId="8" borderId="0" xfId="0" applyFont="1" applyFill="1" applyBorder="1" applyAlignment="1">
      <alignment vertical="center"/>
    </xf>
    <xf numFmtId="0" fontId="16" fillId="0" borderId="33" xfId="0" applyFont="1" applyBorder="1" applyAlignment="1">
      <alignment horizontal="center" vertical="center" wrapText="1"/>
    </xf>
    <xf numFmtId="2" fontId="13" fillId="3" borderId="1" xfId="0" applyNumberFormat="1" applyFont="1" applyFill="1" applyBorder="1" applyAlignment="1">
      <alignment horizontal="center" vertical="center"/>
    </xf>
    <xf numFmtId="2" fontId="13" fillId="3" borderId="1" xfId="0" applyNumberFormat="1" applyFont="1" applyFill="1" applyBorder="1" applyAlignment="1" applyProtection="1">
      <alignment horizontal="center" vertical="center"/>
      <protection locked="0"/>
    </xf>
    <xf numFmtId="165" fontId="30" fillId="0" borderId="33" xfId="0" applyNumberFormat="1" applyFont="1" applyBorder="1" applyAlignment="1">
      <alignment horizontal="center" vertical="center" wrapText="1"/>
    </xf>
    <xf numFmtId="0" fontId="30" fillId="0" borderId="33" xfId="0" applyFont="1" applyBorder="1" applyAlignment="1">
      <alignment horizontal="center" vertical="center" wrapText="1"/>
    </xf>
    <xf numFmtId="2" fontId="0" fillId="0" borderId="6" xfId="0" applyNumberFormat="1" applyBorder="1" applyAlignment="1">
      <alignment horizontal="center" vertical="center"/>
    </xf>
    <xf numFmtId="164" fontId="0" fillId="0" borderId="37" xfId="0" applyNumberFormat="1" applyBorder="1" applyAlignment="1">
      <alignment horizontal="center" vertical="center"/>
    </xf>
    <xf numFmtId="164" fontId="0" fillId="0" borderId="35" xfId="0" applyNumberFormat="1" applyBorder="1" applyAlignment="1">
      <alignment horizontal="center" vertical="center"/>
    </xf>
    <xf numFmtId="164" fontId="10" fillId="0" borderId="35" xfId="0" applyNumberFormat="1" applyFont="1" applyBorder="1" applyAlignment="1">
      <alignment horizontal="center" vertical="center"/>
    </xf>
    <xf numFmtId="0" fontId="1" fillId="0" borderId="9" xfId="0" applyFont="1" applyBorder="1" applyAlignment="1">
      <alignment horizontal="center" vertical="center" wrapText="1"/>
    </xf>
    <xf numFmtId="0" fontId="12" fillId="0" borderId="17" xfId="0" applyFont="1" applyBorder="1" applyAlignment="1">
      <alignment vertical="center" wrapText="1"/>
    </xf>
    <xf numFmtId="0" fontId="12" fillId="0" borderId="36" xfId="0" applyFont="1" applyBorder="1" applyAlignment="1">
      <alignment vertical="center" wrapText="1"/>
    </xf>
    <xf numFmtId="0" fontId="12" fillId="0" borderId="6" xfId="0" applyFont="1" applyBorder="1" applyAlignment="1">
      <alignment horizontal="center" vertical="center" wrapText="1"/>
    </xf>
    <xf numFmtId="0" fontId="12" fillId="0" borderId="36" xfId="0" applyFont="1" applyBorder="1" applyAlignment="1">
      <alignment horizontal="center" vertical="center" wrapText="1"/>
    </xf>
    <xf numFmtId="0" fontId="3" fillId="10" borderId="17" xfId="0" applyFont="1" applyFill="1" applyBorder="1" applyAlignment="1">
      <alignment vertical="center" wrapText="1"/>
    </xf>
    <xf numFmtId="0" fontId="3" fillId="10" borderId="17" xfId="0" applyFont="1" applyFill="1" applyBorder="1" applyAlignment="1">
      <alignment horizontal="center" vertical="center" wrapText="1"/>
    </xf>
    <xf numFmtId="0" fontId="22" fillId="9" borderId="39" xfId="0" applyFont="1" applyFill="1" applyBorder="1" applyAlignment="1">
      <alignment horizontal="center" vertical="center" wrapText="1"/>
    </xf>
    <xf numFmtId="0" fontId="22" fillId="9" borderId="17" xfId="0" applyFont="1" applyFill="1" applyBorder="1" applyAlignment="1">
      <alignment horizontal="center" vertical="center" wrapText="1"/>
    </xf>
    <xf numFmtId="0" fontId="1" fillId="0" borderId="33" xfId="0" applyFont="1" applyBorder="1" applyAlignment="1">
      <alignment vertical="center" wrapText="1"/>
    </xf>
    <xf numFmtId="0" fontId="28" fillId="0" borderId="33" xfId="0" applyFont="1" applyBorder="1" applyAlignment="1">
      <alignment vertical="center" wrapText="1"/>
    </xf>
    <xf numFmtId="2" fontId="16" fillId="0" borderId="33" xfId="0" applyNumberFormat="1" applyFont="1" applyBorder="1" applyAlignment="1">
      <alignment horizontal="center" vertical="center" wrapText="1"/>
    </xf>
    <xf numFmtId="165" fontId="21" fillId="0" borderId="33" xfId="0" applyNumberFormat="1" applyFont="1" applyBorder="1" applyAlignment="1">
      <alignment horizontal="center" vertical="center" wrapText="1"/>
    </xf>
    <xf numFmtId="9" fontId="12" fillId="0" borderId="33" xfId="1" applyFont="1" applyBorder="1" applyAlignment="1">
      <alignment horizontal="center" vertical="center" wrapText="1"/>
    </xf>
    <xf numFmtId="0" fontId="1" fillId="0" borderId="36" xfId="0" applyFont="1" applyBorder="1" applyAlignment="1">
      <alignment vertical="center" wrapText="1"/>
    </xf>
    <xf numFmtId="0" fontId="12" fillId="0" borderId="33" xfId="0" applyFont="1" applyBorder="1"/>
    <xf numFmtId="0" fontId="12" fillId="0" borderId="17" xfId="0" applyFont="1" applyBorder="1"/>
    <xf numFmtId="0" fontId="12" fillId="0" borderId="36" xfId="0" applyFont="1" applyBorder="1"/>
    <xf numFmtId="0" fontId="12" fillId="0" borderId="39" xfId="0" applyFont="1" applyBorder="1" applyAlignment="1">
      <alignment horizontal="center" vertical="center" wrapText="1"/>
    </xf>
    <xf numFmtId="0" fontId="12" fillId="0" borderId="17" xfId="0" applyFont="1" applyBorder="1" applyAlignment="1">
      <alignment horizontal="center" vertical="center" wrapText="1"/>
    </xf>
    <xf numFmtId="2" fontId="30" fillId="0" borderId="33" xfId="0" applyNumberFormat="1" applyFont="1" applyBorder="1" applyAlignment="1">
      <alignment horizontal="center" vertical="center" wrapText="1"/>
    </xf>
    <xf numFmtId="0" fontId="37" fillId="10" borderId="17" xfId="0" applyFont="1" applyFill="1" applyBorder="1" applyAlignment="1">
      <alignment vertical="center" wrapText="1"/>
    </xf>
    <xf numFmtId="0" fontId="37" fillId="10" borderId="17" xfId="0" applyFont="1" applyFill="1" applyBorder="1" applyAlignment="1">
      <alignment horizontal="center" vertical="center" wrapText="1"/>
    </xf>
    <xf numFmtId="0" fontId="37" fillId="0" borderId="0" xfId="0" applyFont="1"/>
    <xf numFmtId="0" fontId="35" fillId="0" borderId="0" xfId="0" applyFont="1" applyAlignment="1">
      <alignment vertical="center"/>
    </xf>
    <xf numFmtId="0" fontId="21" fillId="0" borderId="33" xfId="0" applyFont="1" applyBorder="1" applyAlignment="1">
      <alignment vertical="center" wrapText="1"/>
    </xf>
    <xf numFmtId="165" fontId="22" fillId="0" borderId="33" xfId="0" applyNumberFormat="1" applyFont="1" applyBorder="1" applyAlignment="1">
      <alignment horizontal="center" vertical="center" wrapText="1"/>
    </xf>
    <xf numFmtId="0" fontId="12" fillId="0" borderId="40" xfId="0" applyFont="1" applyBorder="1" applyAlignment="1">
      <alignment vertical="center" wrapText="1"/>
    </xf>
    <xf numFmtId="0" fontId="12" fillId="0" borderId="40" xfId="0" applyFont="1" applyBorder="1"/>
    <xf numFmtId="0" fontId="12" fillId="0" borderId="39" xfId="0" applyFont="1" applyBorder="1"/>
    <xf numFmtId="0" fontId="22" fillId="0" borderId="38" xfId="0" applyFont="1" applyBorder="1" applyAlignment="1">
      <alignment vertical="center"/>
    </xf>
    <xf numFmtId="1" fontId="0" fillId="0" borderId="0" xfId="0" applyNumberFormat="1" applyBorder="1" applyAlignment="1">
      <alignment horizontal="center" vertical="center"/>
    </xf>
    <xf numFmtId="0" fontId="34" fillId="0" borderId="34" xfId="0" applyFont="1" applyBorder="1" applyAlignment="1">
      <alignment vertical="center"/>
    </xf>
    <xf numFmtId="165" fontId="20" fillId="0" borderId="34" xfId="0" applyNumberFormat="1" applyFont="1" applyBorder="1" applyAlignment="1">
      <alignment horizontal="center" vertical="center"/>
    </xf>
    <xf numFmtId="2" fontId="16" fillId="0" borderId="11" xfId="0" applyNumberFormat="1" applyFont="1" applyBorder="1" applyAlignment="1">
      <alignment horizontal="center" vertical="center"/>
    </xf>
    <xf numFmtId="166" fontId="0" fillId="0" borderId="0" xfId="0" applyNumberFormat="1" applyAlignment="1">
      <alignment vertical="center"/>
    </xf>
    <xf numFmtId="165" fontId="0" fillId="0" borderId="0" xfId="0" applyNumberFormat="1" applyAlignment="1">
      <alignment vertical="center"/>
    </xf>
    <xf numFmtId="0" fontId="14" fillId="8" borderId="0" xfId="0" applyFont="1" applyFill="1" applyAlignment="1">
      <alignment vertical="center"/>
    </xf>
    <xf numFmtId="0" fontId="34" fillId="8" borderId="0" xfId="0" applyFont="1" applyFill="1" applyAlignment="1">
      <alignment vertical="center"/>
    </xf>
    <xf numFmtId="0" fontId="0" fillId="12" borderId="31" xfId="0" applyFill="1" applyBorder="1" applyAlignment="1">
      <alignment vertical="center"/>
    </xf>
    <xf numFmtId="165" fontId="14" fillId="12" borderId="30" xfId="0" applyNumberFormat="1" applyFont="1" applyFill="1" applyBorder="1" applyAlignment="1">
      <alignment horizontal="center" vertical="center"/>
    </xf>
    <xf numFmtId="165" fontId="0" fillId="12" borderId="29" xfId="0" applyNumberFormat="1" applyFill="1" applyBorder="1" applyAlignment="1">
      <alignment horizontal="center" vertical="center"/>
    </xf>
    <xf numFmtId="165" fontId="14" fillId="12" borderId="29" xfId="0" applyNumberFormat="1" applyFont="1" applyFill="1" applyBorder="1" applyAlignment="1">
      <alignment horizontal="center" vertical="center"/>
    </xf>
    <xf numFmtId="165" fontId="14" fillId="12" borderId="32" xfId="0" applyNumberFormat="1" applyFont="1" applyFill="1" applyBorder="1" applyAlignment="1">
      <alignment horizontal="center" vertical="center"/>
    </xf>
    <xf numFmtId="166" fontId="39" fillId="12" borderId="12" xfId="0" applyNumberFormat="1" applyFont="1" applyFill="1" applyBorder="1" applyAlignment="1">
      <alignment horizontal="center" vertical="center"/>
    </xf>
    <xf numFmtId="166" fontId="39" fillId="12" borderId="33" xfId="0" applyNumberFormat="1" applyFont="1" applyFill="1" applyBorder="1" applyAlignment="1">
      <alignment horizontal="center" vertical="center"/>
    </xf>
    <xf numFmtId="0" fontId="13" fillId="12" borderId="31" xfId="0" applyFont="1" applyFill="1" applyBorder="1" applyAlignment="1">
      <alignment vertical="center"/>
    </xf>
    <xf numFmtId="165" fontId="13" fillId="12" borderId="29" xfId="0" applyNumberFormat="1" applyFont="1" applyFill="1" applyBorder="1" applyAlignment="1">
      <alignment horizontal="center" vertical="center"/>
    </xf>
    <xf numFmtId="165" fontId="40" fillId="0" borderId="0" xfId="0" applyNumberFormat="1" applyFont="1" applyFill="1" applyBorder="1" applyAlignment="1">
      <alignment horizontal="center" vertical="center"/>
    </xf>
    <xf numFmtId="166" fontId="40" fillId="0" borderId="0" xfId="0" applyNumberFormat="1" applyFont="1" applyAlignment="1">
      <alignment horizontal="center" vertical="center"/>
    </xf>
    <xf numFmtId="165" fontId="40" fillId="0" borderId="0" xfId="0" applyNumberFormat="1" applyFont="1" applyAlignment="1">
      <alignment horizontal="center" vertical="center"/>
    </xf>
    <xf numFmtId="0" fontId="0" fillId="5" borderId="1" xfId="0" applyFill="1" applyBorder="1" applyAlignment="1">
      <alignment horizontal="center"/>
    </xf>
    <xf numFmtId="0" fontId="0" fillId="0" borderId="0" xfId="0" applyFill="1" applyBorder="1" applyAlignment="1">
      <alignment horizontal="left"/>
    </xf>
    <xf numFmtId="49" fontId="3" fillId="0" borderId="0" xfId="0" applyNumberFormat="1" applyFont="1" applyAlignment="1">
      <alignment horizontal="center"/>
    </xf>
    <xf numFmtId="0" fontId="0" fillId="2" borderId="41" xfId="0" applyFill="1" applyBorder="1" applyAlignment="1" applyProtection="1">
      <alignment horizontal="center" vertical="center"/>
      <protection locked="0"/>
    </xf>
    <xf numFmtId="0" fontId="0" fillId="5" borderId="42" xfId="0" applyFill="1" applyBorder="1" applyAlignment="1">
      <alignment horizontal="center" vertical="center"/>
    </xf>
    <xf numFmtId="0" fontId="0" fillId="11" borderId="1" xfId="0" applyFill="1" applyBorder="1" applyAlignment="1">
      <alignment horizontal="center" vertical="center"/>
    </xf>
    <xf numFmtId="0" fontId="0" fillId="5" borderId="0" xfId="0" applyFill="1" applyAlignment="1">
      <alignment horizontal="center" vertical="center"/>
    </xf>
    <xf numFmtId="165" fontId="0" fillId="0" borderId="0" xfId="0" applyNumberFormat="1" applyBorder="1" applyAlignment="1">
      <alignment vertical="center"/>
    </xf>
    <xf numFmtId="0" fontId="0" fillId="13" borderId="0" xfId="0" applyFill="1" applyAlignment="1">
      <alignment vertical="center"/>
    </xf>
    <xf numFmtId="0" fontId="0" fillId="13" borderId="22" xfId="0" applyFill="1" applyBorder="1" applyAlignment="1">
      <alignment horizontal="left" vertical="center"/>
    </xf>
    <xf numFmtId="0" fontId="0" fillId="13" borderId="22" xfId="0" applyFill="1" applyBorder="1" applyAlignment="1">
      <alignment vertical="center"/>
    </xf>
    <xf numFmtId="2" fontId="13" fillId="13" borderId="35" xfId="0" applyNumberFormat="1" applyFont="1" applyFill="1" applyBorder="1" applyAlignment="1">
      <alignment horizontal="center" vertical="center"/>
    </xf>
    <xf numFmtId="164" fontId="13" fillId="13" borderId="6" xfId="0" applyNumberFormat="1" applyFont="1" applyFill="1" applyBorder="1" applyAlignment="1">
      <alignment horizontal="center" vertical="center"/>
    </xf>
    <xf numFmtId="164" fontId="13" fillId="13" borderId="34" xfId="0" applyNumberFormat="1" applyFont="1" applyFill="1" applyBorder="1" applyAlignment="1">
      <alignment horizontal="center" vertical="center"/>
    </xf>
    <xf numFmtId="165" fontId="13" fillId="13" borderId="36" xfId="0" applyNumberFormat="1" applyFont="1" applyFill="1" applyBorder="1" applyAlignment="1">
      <alignment horizontal="center" vertical="center"/>
    </xf>
    <xf numFmtId="0" fontId="0" fillId="14" borderId="7" xfId="0" applyFill="1" applyBorder="1" applyAlignment="1">
      <alignment horizontal="center" vertical="center"/>
    </xf>
    <xf numFmtId="0" fontId="0" fillId="14" borderId="36" xfId="0" applyFill="1" applyBorder="1" applyAlignment="1">
      <alignment vertical="center"/>
    </xf>
    <xf numFmtId="164" fontId="13" fillId="14" borderId="36" xfId="0" applyNumberFormat="1" applyFont="1" applyFill="1" applyBorder="1" applyAlignment="1">
      <alignment horizontal="center" vertical="center"/>
    </xf>
    <xf numFmtId="164" fontId="13" fillId="14" borderId="6" xfId="0" applyNumberFormat="1" applyFont="1" applyFill="1" applyBorder="1" applyAlignment="1">
      <alignment horizontal="center" vertical="center"/>
    </xf>
    <xf numFmtId="0" fontId="0" fillId="14" borderId="22" xfId="0" applyFill="1" applyBorder="1" applyAlignment="1">
      <alignment vertical="center"/>
    </xf>
    <xf numFmtId="0" fontId="0" fillId="14" borderId="0" xfId="0" applyFill="1" applyBorder="1" applyAlignment="1">
      <alignment vertical="center"/>
    </xf>
    <xf numFmtId="0" fontId="0" fillId="14" borderId="35" xfId="0" applyFill="1" applyBorder="1" applyAlignment="1">
      <alignment vertical="center"/>
    </xf>
    <xf numFmtId="0" fontId="12" fillId="0" borderId="34" xfId="0" applyFont="1" applyBorder="1" applyAlignment="1">
      <alignment horizontal="left" vertical="center" wrapText="1"/>
    </xf>
    <xf numFmtId="0" fontId="16" fillId="0" borderId="34" xfId="0" applyFont="1" applyBorder="1" applyAlignment="1">
      <alignment horizontal="center" vertical="center" wrapText="1"/>
    </xf>
    <xf numFmtId="0" fontId="16" fillId="0" borderId="35" xfId="0" applyFont="1" applyBorder="1" applyAlignment="1">
      <alignment horizontal="center" vertical="center" wrapText="1"/>
    </xf>
    <xf numFmtId="2" fontId="13" fillId="0" borderId="36" xfId="0" applyNumberFormat="1" applyFont="1" applyBorder="1" applyAlignment="1">
      <alignment horizontal="center" vertical="center"/>
    </xf>
    <xf numFmtId="165" fontId="13" fillId="6" borderId="34" xfId="0" applyNumberFormat="1" applyFont="1" applyFill="1" applyBorder="1" applyAlignment="1">
      <alignment horizontal="center" vertical="center"/>
    </xf>
    <xf numFmtId="165" fontId="13" fillId="6" borderId="35" xfId="0" applyNumberFormat="1" applyFont="1" applyFill="1" applyBorder="1" applyAlignment="1">
      <alignment horizontal="center" vertical="center"/>
    </xf>
    <xf numFmtId="2" fontId="13" fillId="6" borderId="35" xfId="0" applyNumberFormat="1" applyFont="1" applyFill="1" applyBorder="1" applyAlignment="1">
      <alignment horizontal="center" vertical="center"/>
    </xf>
    <xf numFmtId="0" fontId="13" fillId="6" borderId="34" xfId="0" applyFont="1" applyFill="1" applyBorder="1" applyAlignment="1">
      <alignment vertical="center"/>
    </xf>
    <xf numFmtId="0" fontId="13" fillId="6" borderId="22" xfId="0" applyFont="1" applyFill="1" applyBorder="1" applyAlignment="1">
      <alignment horizontal="center" vertical="center"/>
    </xf>
    <xf numFmtId="0" fontId="0" fillId="0" borderId="0" xfId="0" applyAlignment="1">
      <alignment vertical="center" wrapText="1"/>
    </xf>
    <xf numFmtId="0" fontId="13" fillId="0" borderId="34" xfId="0" applyFont="1" applyBorder="1" applyAlignment="1">
      <alignment horizontal="center"/>
    </xf>
    <xf numFmtId="0" fontId="11" fillId="0" borderId="22"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35" xfId="0" applyFont="1" applyFill="1" applyBorder="1" applyAlignment="1">
      <alignment horizontal="center" vertical="center" wrapText="1"/>
    </xf>
    <xf numFmtId="0" fontId="18" fillId="0" borderId="12" xfId="0" applyFont="1" applyBorder="1" applyAlignment="1">
      <alignment horizontal="center" vertical="center" wrapText="1"/>
    </xf>
    <xf numFmtId="0" fontId="10" fillId="0" borderId="37" xfId="0" applyFont="1" applyBorder="1" applyAlignment="1">
      <alignment horizontal="center" vertical="center"/>
    </xf>
    <xf numFmtId="0" fontId="10" fillId="0" borderId="35" xfId="0" applyFont="1" applyBorder="1" applyAlignment="1">
      <alignment vertical="center"/>
    </xf>
    <xf numFmtId="0" fontId="10" fillId="0" borderId="6" xfId="0" applyFont="1" applyBorder="1" applyAlignment="1">
      <alignment vertical="center"/>
    </xf>
    <xf numFmtId="2" fontId="10" fillId="0" borderId="34" xfId="0" applyNumberFormat="1" applyFont="1" applyBorder="1" applyAlignment="1">
      <alignment horizontal="center" vertical="center"/>
    </xf>
    <xf numFmtId="164" fontId="10" fillId="0" borderId="36" xfId="0" applyNumberFormat="1" applyFont="1" applyBorder="1" applyAlignment="1">
      <alignment horizontal="center" vertical="center"/>
    </xf>
    <xf numFmtId="0" fontId="0" fillId="2" borderId="0" xfId="0" applyFill="1" applyAlignment="1" applyProtection="1">
      <alignment horizontal="center" vertical="center"/>
      <protection locked="0"/>
    </xf>
    <xf numFmtId="0" fontId="11" fillId="0" borderId="0" xfId="0" applyFont="1" applyFill="1" applyAlignment="1" applyProtection="1">
      <alignment horizontal="center" vertical="center" wrapText="1"/>
    </xf>
    <xf numFmtId="0" fontId="11" fillId="6" borderId="22" xfId="0" applyFont="1" applyFill="1" applyBorder="1" applyAlignment="1">
      <alignment horizontal="center" vertical="center" wrapText="1"/>
    </xf>
    <xf numFmtId="0" fontId="11" fillId="6" borderId="0" xfId="0" applyFont="1" applyFill="1" applyBorder="1" applyAlignment="1">
      <alignment horizontal="center" vertical="center" wrapText="1"/>
    </xf>
    <xf numFmtId="0" fontId="11" fillId="6" borderId="35" xfId="0" applyFont="1" applyFill="1" applyBorder="1" applyAlignment="1">
      <alignment horizontal="center" vertical="center" wrapTex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1" fillId="8" borderId="5" xfId="0" applyFont="1" applyFill="1" applyBorder="1" applyAlignment="1">
      <alignment horizontal="center" vertical="center"/>
    </xf>
    <xf numFmtId="0" fontId="11" fillId="8" borderId="6" xfId="0" applyFont="1" applyFill="1" applyBorder="1" applyAlignment="1">
      <alignment horizontal="center" vertical="center"/>
    </xf>
    <xf numFmtId="0" fontId="11" fillId="8" borderId="7" xfId="0" applyFont="1" applyFill="1" applyBorder="1" applyAlignment="1">
      <alignment horizontal="center" vertical="center"/>
    </xf>
    <xf numFmtId="0" fontId="13" fillId="0" borderId="8" xfId="0" applyFont="1" applyBorder="1" applyAlignment="1">
      <alignment horizontal="center" vertical="center"/>
    </xf>
    <xf numFmtId="0" fontId="13" fillId="0" borderId="10" xfId="0" applyFont="1" applyBorder="1" applyAlignment="1">
      <alignment horizontal="center" vertical="center"/>
    </xf>
    <xf numFmtId="0" fontId="13" fillId="0" borderId="37" xfId="0" applyFont="1" applyBorder="1" applyAlignment="1">
      <alignment horizontal="center" vertic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26" fillId="0" borderId="5" xfId="0" applyFont="1" applyBorder="1" applyAlignment="1">
      <alignment horizontal="left" vertical="center" wrapText="1"/>
    </xf>
    <xf numFmtId="0" fontId="12" fillId="0" borderId="0" xfId="0" applyFont="1" applyAlignment="1">
      <alignment horizontal="left" vertical="center" wrapText="1"/>
    </xf>
    <xf numFmtId="0" fontId="26" fillId="0" borderId="0" xfId="0" applyFont="1" applyBorder="1" applyAlignment="1">
      <alignment horizontal="left" vertical="center" wrapText="1"/>
    </xf>
    <xf numFmtId="0" fontId="41" fillId="0" borderId="0" xfId="0" applyFont="1" applyBorder="1" applyAlignment="1">
      <alignment horizontal="left" vertical="center" wrapText="1"/>
    </xf>
    <xf numFmtId="0" fontId="17" fillId="0" borderId="0" xfId="0" applyFont="1" applyBorder="1" applyAlignment="1">
      <alignment horizontal="left" vertical="center" wrapText="1"/>
    </xf>
    <xf numFmtId="0" fontId="12" fillId="0" borderId="5" xfId="0" applyFont="1" applyBorder="1" applyAlignment="1">
      <alignment horizontal="left" vertical="center" wrapText="1"/>
    </xf>
    <xf numFmtId="0" fontId="25" fillId="0" borderId="5" xfId="0" applyFont="1" applyBorder="1" applyAlignment="1">
      <alignment horizontal="left" vertical="center" wrapText="1"/>
    </xf>
    <xf numFmtId="0" fontId="35" fillId="0" borderId="5" xfId="0" applyFont="1" applyBorder="1" applyAlignment="1">
      <alignment horizontal="left" vertical="center" wrapText="1"/>
    </xf>
    <xf numFmtId="0" fontId="1" fillId="0" borderId="0" xfId="0" applyFont="1" applyAlignment="1">
      <alignment horizontal="left" vertical="center" wrapText="1"/>
    </xf>
    <xf numFmtId="0" fontId="19" fillId="0" borderId="5" xfId="0" applyFont="1" applyBorder="1" applyAlignment="1">
      <alignment horizontal="left" vertical="center" wrapText="1"/>
    </xf>
    <xf numFmtId="0" fontId="17" fillId="0" borderId="5" xfId="0" applyFont="1" applyBorder="1" applyAlignment="1">
      <alignment horizontal="left"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29" xfId="0" applyBorder="1" applyAlignment="1">
      <alignment horizontal="center" vertical="center"/>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5" xfId="0" applyBorder="1" applyAlignment="1">
      <alignment horizontal="center" vertical="center"/>
    </xf>
  </cellXfs>
  <cellStyles count="2">
    <cellStyle name="Normal" xfId="0" builtinId="0"/>
    <cellStyle name="Percent" xfId="1" builtinId="5"/>
  </cellStyles>
  <dxfs count="0"/>
  <tableStyles count="0" defaultTableStyle="TableStyleMedium2" defaultPivotStyle="PivotStyleLight16"/>
  <colors>
    <mruColors>
      <color rgb="FF00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twoCellAnchor>
    <xdr:from>
      <xdr:col>0</xdr:col>
      <xdr:colOff>361950</xdr:colOff>
      <xdr:row>2</xdr:row>
      <xdr:rowOff>161926</xdr:rowOff>
    </xdr:from>
    <xdr:to>
      <xdr:col>4</xdr:col>
      <xdr:colOff>600075</xdr:colOff>
      <xdr:row>23</xdr:row>
      <xdr:rowOff>47626</xdr:rowOff>
    </xdr:to>
    <xdr:sp macro="" textlink="">
      <xdr:nvSpPr>
        <xdr:cNvPr id="2" name="TextBox 1"/>
        <xdr:cNvSpPr txBox="1"/>
      </xdr:nvSpPr>
      <xdr:spPr>
        <a:xfrm>
          <a:off x="361950" y="542926"/>
          <a:ext cx="6610350" cy="3886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Note:</a:t>
          </a:r>
        </a:p>
        <a:p>
          <a:endParaRPr lang="en-US" sz="1100"/>
        </a:p>
        <a:p>
          <a:r>
            <a:rPr lang="en-US" sz="1100"/>
            <a:t>Enter the Vendor's Compliance Software  Name in the designated cell above.</a:t>
          </a:r>
        </a:p>
        <a:p>
          <a:endParaRPr lang="en-US" sz="1100"/>
        </a:p>
        <a:p>
          <a:r>
            <a:rPr lang="en-US" sz="1100"/>
            <a:t>Enter</a:t>
          </a:r>
          <a:r>
            <a:rPr lang="en-US" sz="1100" baseline="0"/>
            <a:t> each home as described on tabs starting with the letter "D" into your software. Differences from Home T01 to T02 and T03 are shown in red. Similar with M01 to M02 and M03. "T" homes are for Tampa climate and "M" homes are for Miami climate.</a:t>
          </a:r>
        </a:p>
        <a:p>
          <a:endParaRPr lang="en-US" sz="1100" baseline="0"/>
        </a:p>
        <a:p>
          <a:r>
            <a:rPr lang="en-US" sz="1100" baseline="0"/>
            <a:t>Enter the software results for each prescriptive method your software checks in the yellow cells on the verification tabs marked with a "V." Each of those tabs has separate entries for the R-Value method, U-Factor Alternative method and the Total UA Alternative method. Scroll down to enter the data for each method. </a:t>
          </a:r>
        </a:p>
        <a:p>
          <a:pPr rtl="0" eaLnBrk="1" latinLnBrk="0" hangingPunct="1"/>
          <a:r>
            <a:rPr lang="en-US" sz="1100">
              <a:solidFill>
                <a:schemeClr val="dk1"/>
              </a:solidFill>
              <a:effectLst/>
              <a:latin typeface="+mn-lt"/>
              <a:ea typeface="+mn-ea"/>
              <a:cs typeface="+mn-cs"/>
            </a:rPr>
            <a:t>Select the dropdown choices for most entries.</a:t>
          </a:r>
          <a:endParaRPr lang="en-US">
            <a:effectLst/>
          </a:endParaRPr>
        </a:p>
        <a:p>
          <a:pPr rtl="0" eaLnBrk="1" latinLnBrk="0" hangingPunct="1"/>
          <a:r>
            <a:rPr lang="en-US" sz="1100">
              <a:solidFill>
                <a:schemeClr val="dk1"/>
              </a:solidFill>
              <a:effectLst/>
              <a:latin typeface="+mn-lt"/>
              <a:ea typeface="+mn-ea"/>
              <a:cs typeface="+mn-cs"/>
            </a:rPr>
            <a:t>Enter the software calculated average Fenestration U-Factor and SHGC where asked.</a:t>
          </a:r>
          <a:endParaRPr lang="en-US">
            <a:effectLst/>
          </a:endParaRPr>
        </a:p>
        <a:p>
          <a:pPr rtl="0" eaLnBrk="1" latinLnBrk="0" hangingPunct="1"/>
          <a:r>
            <a:rPr lang="en-US" sz="1100">
              <a:solidFill>
                <a:schemeClr val="dk1"/>
              </a:solidFill>
              <a:effectLst/>
              <a:latin typeface="+mn-lt"/>
              <a:ea typeface="+mn-ea"/>
              <a:cs typeface="+mn-cs"/>
            </a:rPr>
            <a:t>Enter the mandatory requirements results that your software checks. If</a:t>
          </a:r>
          <a:r>
            <a:rPr lang="en-US" sz="1100" baseline="0">
              <a:solidFill>
                <a:schemeClr val="dk1"/>
              </a:solidFill>
              <a:effectLst/>
              <a:latin typeface="+mn-lt"/>
              <a:ea typeface="+mn-ea"/>
              <a:cs typeface="+mn-cs"/>
            </a:rPr>
            <a:t> the mandatory item is not part of software select the choice</a:t>
          </a:r>
          <a:r>
            <a:rPr lang="en-US" sz="1100">
              <a:solidFill>
                <a:schemeClr val="dk1"/>
              </a:solidFill>
              <a:effectLst/>
              <a:latin typeface="+mn-lt"/>
              <a:ea typeface="+mn-ea"/>
              <a:cs typeface="+mn-cs"/>
            </a:rPr>
            <a:t> “Not Part of Software.”</a:t>
          </a:r>
          <a:endParaRPr lang="en-US">
            <a:effectLst/>
          </a:endParaRPr>
        </a:p>
        <a:p>
          <a:pPr rtl="0" eaLnBrk="1" latinLnBrk="0" hangingPunct="1"/>
          <a:r>
            <a:rPr lang="en-US" sz="1100">
              <a:solidFill>
                <a:schemeClr val="dk1"/>
              </a:solidFill>
              <a:effectLst/>
              <a:latin typeface="+mn-lt"/>
              <a:ea typeface="+mn-ea"/>
              <a:cs typeface="+mn-cs"/>
            </a:rPr>
            <a:t>If the software calculates all the expected results the “Test Results” line will show “PASS.”</a:t>
          </a:r>
        </a:p>
        <a:p>
          <a:pPr rtl="0" eaLnBrk="1" latinLnBrk="0" hangingPunct="1"/>
          <a:endParaRPr lang="en-US" sz="1100">
            <a:solidFill>
              <a:schemeClr val="dk1"/>
            </a:solidFill>
            <a:effectLst/>
            <a:latin typeface="+mn-lt"/>
            <a:ea typeface="+mn-ea"/>
            <a:cs typeface="+mn-cs"/>
          </a:endParaRPr>
        </a:p>
        <a:p>
          <a:pPr rtl="0" eaLnBrk="1" latinLnBrk="0" hangingPunct="1"/>
          <a:r>
            <a:rPr lang="en-US" sz="1100">
              <a:solidFill>
                <a:schemeClr val="dk1"/>
              </a:solidFill>
              <a:effectLst/>
              <a:latin typeface="+mn-lt"/>
              <a:ea typeface="+mn-ea"/>
              <a:cs typeface="+mn-cs"/>
            </a:rPr>
            <a:t>The UA tabs are for information only as they show the U</a:t>
          </a:r>
          <a:r>
            <a:rPr lang="en-US" sz="1100" baseline="0">
              <a:solidFill>
                <a:schemeClr val="dk1"/>
              </a:solidFill>
              <a:effectLst/>
              <a:latin typeface="+mn-lt"/>
              <a:ea typeface="+mn-ea"/>
              <a:cs typeface="+mn-cs"/>
            </a:rPr>
            <a:t> factor and UA calculations obtained for the described homes.</a:t>
          </a:r>
          <a:endParaRPr lang="en-US">
            <a:effectLst/>
          </a:endParaRPr>
        </a:p>
        <a:p>
          <a:endParaRPr lang="en-US" sz="1100" baseline="0"/>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107950</xdr:colOff>
      <xdr:row>11</xdr:row>
      <xdr:rowOff>155863</xdr:rowOff>
    </xdr:from>
    <xdr:to>
      <xdr:col>8</xdr:col>
      <xdr:colOff>1368137</xdr:colOff>
      <xdr:row>22</xdr:row>
      <xdr:rowOff>69272</xdr:rowOff>
    </xdr:to>
    <xdr:sp macro="" textlink="">
      <xdr:nvSpPr>
        <xdr:cNvPr id="2" name="TextBox 1"/>
        <xdr:cNvSpPr txBox="1"/>
      </xdr:nvSpPr>
      <xdr:spPr>
        <a:xfrm>
          <a:off x="13265150" y="2372013"/>
          <a:ext cx="1260187" cy="20089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2"/>
  <sheetViews>
    <sheetView workbookViewId="0">
      <selection activeCell="B3" sqref="B3"/>
    </sheetView>
  </sheetViews>
  <sheetFormatPr defaultRowHeight="14.5" x14ac:dyDescent="0.35"/>
  <cols>
    <col min="2" max="2" width="25.453125" customWidth="1"/>
    <col min="3" max="3" width="17.453125" customWidth="1"/>
    <col min="4" max="4" width="43.54296875" customWidth="1"/>
  </cols>
  <sheetData>
    <row r="2" spans="2:5" x14ac:dyDescent="0.35">
      <c r="B2" t="s">
        <v>25</v>
      </c>
      <c r="C2" t="s">
        <v>27</v>
      </c>
      <c r="D2" s="506" t="s">
        <v>422</v>
      </c>
      <c r="E2" s="506"/>
    </row>
  </sheetData>
  <sheetProtection password="BDDF" sheet="1" objects="1" scenarios="1"/>
  <mergeCells count="1">
    <mergeCell ref="D2:E2"/>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42"/>
  <sheetViews>
    <sheetView topLeftCell="B1" zoomScaleNormal="100" workbookViewId="0">
      <selection activeCell="B2" sqref="B2"/>
    </sheetView>
  </sheetViews>
  <sheetFormatPr defaultColWidth="9.1796875" defaultRowHeight="14.5" x14ac:dyDescent="0.35"/>
  <cols>
    <col min="1" max="1" width="4.453125" style="256" customWidth="1"/>
    <col min="2" max="2" width="46.7265625" style="256" customWidth="1"/>
    <col min="3" max="3" width="23.1796875" style="256" customWidth="1"/>
    <col min="4" max="4" width="20.26953125" style="256" customWidth="1"/>
    <col min="5" max="5" width="21" style="256" customWidth="1"/>
    <col min="6" max="6" width="20.1796875" style="256" customWidth="1"/>
    <col min="7" max="8" width="26.26953125" style="256" customWidth="1"/>
    <col min="9" max="9" width="24.7265625" style="256" customWidth="1"/>
    <col min="10" max="16384" width="9.1796875" style="256"/>
  </cols>
  <sheetData>
    <row r="1" spans="1:8" ht="7.5" customHeight="1" x14ac:dyDescent="0.35">
      <c r="A1" s="13"/>
      <c r="B1" s="13"/>
      <c r="C1" s="13"/>
      <c r="D1" s="13"/>
      <c r="E1" s="13"/>
      <c r="F1" s="13"/>
      <c r="G1" s="13"/>
    </row>
    <row r="3" spans="1:8" ht="34.5" customHeight="1" x14ac:dyDescent="0.35">
      <c r="B3" s="258" t="s">
        <v>25</v>
      </c>
      <c r="C3" s="258" t="s">
        <v>27</v>
      </c>
      <c r="D3" s="507" t="str">
        <f>IF(Instructions!D2="","Enter Vendor's Software Name In Instruction Sheet",Instructions!D2)</f>
        <v xml:space="preserve">EnergyGauge USA </v>
      </c>
      <c r="E3" s="507"/>
    </row>
    <row r="4" spans="1:8" ht="15" customHeight="1" x14ac:dyDescent="0.35">
      <c r="B4" s="326" t="str">
        <f>D_M02!B2</f>
        <v xml:space="preserve">Prescriptive Test: House M02 (Pr-M02) Characteristics – Location: Miami, Florida. </v>
      </c>
      <c r="C4" s="326"/>
      <c r="D4" s="326"/>
      <c r="E4" s="326"/>
    </row>
    <row r="5" spans="1:8" ht="15" customHeight="1" x14ac:dyDescent="0.35">
      <c r="B5" s="326" t="str">
        <f>D_M02!B3</f>
        <v>Single Family Detached Home with No Attached Garage, Single Story, Three bedroom.</v>
      </c>
      <c r="C5" s="326"/>
      <c r="D5" s="326"/>
      <c r="E5" s="326"/>
    </row>
    <row r="6" spans="1:8" x14ac:dyDescent="0.35">
      <c r="B6" s="4" t="s">
        <v>28</v>
      </c>
    </row>
    <row r="7" spans="1:8" x14ac:dyDescent="0.35">
      <c r="B7" s="1" t="s">
        <v>112</v>
      </c>
      <c r="C7" s="1"/>
      <c r="D7" s="8" t="s">
        <v>84</v>
      </c>
      <c r="E7" s="8"/>
    </row>
    <row r="8" spans="1:8" x14ac:dyDescent="0.35">
      <c r="B8" s="3" t="s">
        <v>113</v>
      </c>
      <c r="C8" s="3"/>
      <c r="D8" s="3"/>
    </row>
    <row r="9" spans="1:8" x14ac:dyDescent="0.35">
      <c r="B9" s="249" t="str">
        <f>D_M02!B4</f>
        <v>House Pr-M02</v>
      </c>
      <c r="C9" s="10" t="s">
        <v>242</v>
      </c>
      <c r="D9" s="116" t="s">
        <v>75</v>
      </c>
      <c r="E9" s="4"/>
    </row>
    <row r="10" spans="1:8" ht="15" thickBot="1" x14ac:dyDescent="0.4">
      <c r="C10" s="10" t="s">
        <v>86</v>
      </c>
      <c r="D10" s="10" t="s">
        <v>29</v>
      </c>
      <c r="E10" s="4"/>
    </row>
    <row r="11" spans="1:8" ht="15" thickBot="1" x14ac:dyDescent="0.4">
      <c r="B11" s="246" t="str">
        <f>D_M02!B8</f>
        <v>Raised Floor1</v>
      </c>
      <c r="C11" s="103" t="s">
        <v>93</v>
      </c>
      <c r="D11" s="105" t="str">
        <f>IF(C11="Complies","Pass","Fail")</f>
        <v>Pass</v>
      </c>
      <c r="E11" s="6"/>
      <c r="H11" s="9">
        <f t="shared" ref="H11:H23" si="0">IF(OR(D11="Not applicable",D11="Software Doesn't Check",D11="Pass"),0,1)</f>
        <v>0</v>
      </c>
    </row>
    <row r="12" spans="1:8" ht="15" thickBot="1" x14ac:dyDescent="0.4">
      <c r="B12" s="247" t="str">
        <f>D_M02!B9</f>
        <v>Roof – gable type- 5 in 12 slope No overhangs</v>
      </c>
      <c r="C12" s="103" t="s">
        <v>93</v>
      </c>
      <c r="D12" s="105" t="str">
        <f>IF(C12="Complies","Pass","Fail")</f>
        <v>Pass</v>
      </c>
      <c r="E12" s="6"/>
      <c r="H12" s="9">
        <f t="shared" si="0"/>
        <v>0</v>
      </c>
    </row>
    <row r="13" spans="1:8" ht="15" thickBot="1" x14ac:dyDescent="0.4">
      <c r="B13" s="247" t="str">
        <f>D_M02!B10</f>
        <v>Ceiling2 –flat under attic</v>
      </c>
      <c r="C13" s="103" t="s">
        <v>93</v>
      </c>
      <c r="D13" s="105" t="str">
        <f>IF(C13="Complies","Pass","Fail")</f>
        <v>Pass</v>
      </c>
      <c r="E13" s="6"/>
      <c r="H13" s="9">
        <f t="shared" si="0"/>
        <v>0</v>
      </c>
    </row>
    <row r="14" spans="1:8" ht="15" thickBot="1" x14ac:dyDescent="0.4">
      <c r="B14" s="247" t="str">
        <f>D_M02!B11</f>
        <v xml:space="preserve">        Skylight</v>
      </c>
      <c r="C14" s="103" t="s">
        <v>93</v>
      </c>
      <c r="D14" s="105" t="str">
        <f>IF(C14="Complies","Pass","Fail")</f>
        <v>Pass</v>
      </c>
      <c r="E14" s="6"/>
      <c r="H14" s="9">
        <f t="shared" si="0"/>
        <v>0</v>
      </c>
    </row>
    <row r="15" spans="1:8" ht="15" thickBot="1" x14ac:dyDescent="0.4">
      <c r="B15" s="247" t="str">
        <f>D_M02!B12</f>
        <v>Wall 1 –faces North, Steel Frame3</v>
      </c>
      <c r="C15" s="103" t="s">
        <v>445</v>
      </c>
      <c r="D15" s="105" t="str">
        <f>IF(C15="Type Can't Comply","Pass","Fail")</f>
        <v>Pass</v>
      </c>
      <c r="E15" s="465" t="s">
        <v>423</v>
      </c>
      <c r="H15" s="9">
        <f t="shared" si="0"/>
        <v>0</v>
      </c>
    </row>
    <row r="16" spans="1:8" ht="15" thickBot="1" x14ac:dyDescent="0.4">
      <c r="B16" s="247" t="str">
        <f>D_M02!B13</f>
        <v xml:space="preserve">        Door 1 - </v>
      </c>
      <c r="C16" s="106" t="s">
        <v>63</v>
      </c>
      <c r="D16" s="105" t="s">
        <v>63</v>
      </c>
      <c r="E16" s="465"/>
      <c r="H16" s="9">
        <f t="shared" si="0"/>
        <v>0</v>
      </c>
    </row>
    <row r="17" spans="2:8" ht="15" thickBot="1" x14ac:dyDescent="0.4">
      <c r="B17" s="247" t="str">
        <f>D_M02!B14</f>
        <v xml:space="preserve">        Window 1 – Vinyl Frame Impact Resistance Glass</v>
      </c>
      <c r="C17" s="106" t="s">
        <v>63</v>
      </c>
      <c r="D17" s="105" t="s">
        <v>63</v>
      </c>
      <c r="E17" s="465"/>
      <c r="H17" s="9">
        <f t="shared" si="0"/>
        <v>0</v>
      </c>
    </row>
    <row r="18" spans="2:8" ht="15" thickBot="1" x14ac:dyDescent="0.4">
      <c r="B18" s="247" t="str">
        <f>D_M02!B15</f>
        <v>Wall 2 –faces South, Steel Frame</v>
      </c>
      <c r="C18" s="103" t="s">
        <v>445</v>
      </c>
      <c r="D18" s="105" t="str">
        <f>IF(C18="Type Can't Comply","Pass","Fail")</f>
        <v>Pass</v>
      </c>
      <c r="E18" s="465" t="s">
        <v>423</v>
      </c>
      <c r="H18" s="9">
        <f t="shared" si="0"/>
        <v>0</v>
      </c>
    </row>
    <row r="19" spans="2:8" ht="15" thickBot="1" x14ac:dyDescent="0.4">
      <c r="B19" s="247" t="str">
        <f>D_M02!B16</f>
        <v xml:space="preserve">        Window 2 – Vinyl Frame Impact Resistance Glass</v>
      </c>
      <c r="C19" s="106" t="s">
        <v>63</v>
      </c>
      <c r="D19" s="105" t="s">
        <v>63</v>
      </c>
      <c r="E19" s="465"/>
      <c r="H19" s="9">
        <f t="shared" si="0"/>
        <v>0</v>
      </c>
    </row>
    <row r="20" spans="2:8" ht="15" thickBot="1" x14ac:dyDescent="0.4">
      <c r="B20" s="247" t="str">
        <f>D_M02!B17</f>
        <v>Wall 3 –faces South, Steel Frame</v>
      </c>
      <c r="C20" s="103" t="s">
        <v>445</v>
      </c>
      <c r="D20" s="105" t="str">
        <f>IF(C20="Type Can't Comply","Pass","Fail")</f>
        <v>Pass</v>
      </c>
      <c r="E20" s="465" t="s">
        <v>423</v>
      </c>
      <c r="H20" s="9">
        <f t="shared" si="0"/>
        <v>0</v>
      </c>
    </row>
    <row r="21" spans="2:8" ht="15" thickBot="1" x14ac:dyDescent="0.4">
      <c r="B21" s="247" t="str">
        <f>D_M02!B18</f>
        <v xml:space="preserve">        Window 3 – Vinyl Frame Impact Resistance Glass</v>
      </c>
      <c r="C21" s="106" t="s">
        <v>63</v>
      </c>
      <c r="D21" s="105" t="s">
        <v>63</v>
      </c>
      <c r="E21" s="465"/>
      <c r="H21" s="9">
        <f t="shared" si="0"/>
        <v>0</v>
      </c>
    </row>
    <row r="22" spans="2:8" ht="15" thickBot="1" x14ac:dyDescent="0.4">
      <c r="B22" s="247" t="str">
        <f>D_M02!B19</f>
        <v xml:space="preserve">Wall 4 –faces South, Wood4 2x4 </v>
      </c>
      <c r="C22" s="103" t="s">
        <v>93</v>
      </c>
      <c r="D22" s="105" t="str">
        <f>IF(C22="Complies","Pass","Fail")</f>
        <v>Pass</v>
      </c>
      <c r="E22" s="465"/>
      <c r="H22" s="9">
        <f t="shared" si="0"/>
        <v>0</v>
      </c>
    </row>
    <row r="23" spans="2:8" ht="15" thickBot="1" x14ac:dyDescent="0.4">
      <c r="B23" s="247" t="str">
        <f>D_M02!B20</f>
        <v xml:space="preserve">        Window 4 – Vinyl Frame  Impact Resistance Glass</v>
      </c>
      <c r="C23" s="106" t="s">
        <v>63</v>
      </c>
      <c r="D23" s="105" t="s">
        <v>63</v>
      </c>
      <c r="E23" s="465"/>
      <c r="H23" s="9">
        <f t="shared" si="0"/>
        <v>0</v>
      </c>
    </row>
    <row r="24" spans="2:8" ht="15" thickBot="1" x14ac:dyDescent="0.4">
      <c r="B24" s="247" t="str">
        <f>D_M02!B21</f>
        <v>Wall 5 –faces West, Steel Frame</v>
      </c>
      <c r="C24" s="103" t="s">
        <v>445</v>
      </c>
      <c r="D24" s="105" t="str">
        <f>IF(C24="Type Can't Comply","Pass","Fail")</f>
        <v>Pass</v>
      </c>
      <c r="E24" s="465" t="s">
        <v>423</v>
      </c>
      <c r="H24" s="9">
        <f>IF(OR(D24="Not applicable",D24="Software Doesn't Check",D24="Pass"),0,1)</f>
        <v>0</v>
      </c>
    </row>
    <row r="25" spans="2:8" ht="15" thickBot="1" x14ac:dyDescent="0.4">
      <c r="B25" s="247" t="str">
        <f>D_M02!B22</f>
        <v xml:space="preserve">        Window 5 – Vinyl Frame Impact Resistance Glass</v>
      </c>
      <c r="C25" s="107" t="s">
        <v>63</v>
      </c>
      <c r="D25" s="105" t="s">
        <v>63</v>
      </c>
      <c r="E25" s="6"/>
      <c r="H25" s="9">
        <f t="shared" ref="H25:H46" si="1">IF(OR(D25="Not applicable",D25="Software Doesn't Check",D25="Pass"),0,1)</f>
        <v>0</v>
      </c>
    </row>
    <row r="26" spans="2:8" ht="15" thickBot="1" x14ac:dyDescent="0.4">
      <c r="B26" s="247" t="str">
        <f>D_M02!B23</f>
        <v>Infiltration</v>
      </c>
      <c r="C26" s="108" t="s">
        <v>93</v>
      </c>
      <c r="D26" s="105" t="str">
        <f>IF(C26="Complies","Pass",IF(C26="Not part of software","Software Doesn't Check","Fail"))</f>
        <v>Pass</v>
      </c>
      <c r="E26" s="6"/>
      <c r="H26" s="9">
        <f t="shared" si="1"/>
        <v>0</v>
      </c>
    </row>
    <row r="27" spans="2:8" ht="15" thickBot="1" x14ac:dyDescent="0.4">
      <c r="B27" s="247" t="str">
        <f>D_M02!B24</f>
        <v>Heating – heat pump</v>
      </c>
      <c r="C27" s="113" t="s">
        <v>93</v>
      </c>
      <c r="D27" s="105" t="str">
        <f>IF(C27="Complies","Pass",IF(C27="Not part of software","Software Doesn't Check","Fail"))</f>
        <v>Pass</v>
      </c>
      <c r="E27" s="6"/>
      <c r="H27" s="9">
        <f t="shared" si="1"/>
        <v>0</v>
      </c>
    </row>
    <row r="28" spans="2:8" ht="15" thickBot="1" x14ac:dyDescent="0.4">
      <c r="B28" s="247" t="str">
        <f>D_M02!B25</f>
        <v>Cooling – heat pump</v>
      </c>
      <c r="C28" s="103" t="s">
        <v>93</v>
      </c>
      <c r="D28" s="105" t="str">
        <f>IF(C28="Complies","Pass",IF(C28="Not part of software","Software Doesn't Check","Fail"))</f>
        <v>Pass</v>
      </c>
      <c r="E28" s="6"/>
      <c r="H28" s="9">
        <f t="shared" si="1"/>
        <v>0</v>
      </c>
    </row>
    <row r="29" spans="2:8" ht="15" thickBot="1" x14ac:dyDescent="0.4">
      <c r="B29" s="247" t="str">
        <f>D_M02!B26</f>
        <v>Ducts – supply in attic</v>
      </c>
      <c r="C29" s="103" t="s">
        <v>93</v>
      </c>
      <c r="D29" s="105" t="str">
        <f>IF(C29="Complies","Pass",IF(C29="Not part of software","Software Doesn't Check","Fail"))</f>
        <v>Pass</v>
      </c>
      <c r="E29" s="6"/>
      <c r="H29" s="9">
        <f t="shared" si="1"/>
        <v>0</v>
      </c>
    </row>
    <row r="30" spans="2:8" ht="15" thickBot="1" x14ac:dyDescent="0.4">
      <c r="B30" s="247" t="str">
        <f>D_M02!B27</f>
        <v>Ducts – return in conditioned space</v>
      </c>
      <c r="C30" s="103" t="s">
        <v>93</v>
      </c>
      <c r="D30" s="105" t="str">
        <f t="shared" ref="D30:D38" si="2">IF(C30="Complies","Pass",IF(C30="Not part of software","Software Doesn't Check","Fail"))</f>
        <v>Pass</v>
      </c>
      <c r="E30" s="6"/>
      <c r="H30" s="9">
        <f t="shared" si="1"/>
        <v>0</v>
      </c>
    </row>
    <row r="31" spans="2:8" ht="15" thickBot="1" x14ac:dyDescent="0.4">
      <c r="B31" s="247" t="str">
        <f>D_M02!B28</f>
        <v>Duct Tightness</v>
      </c>
      <c r="C31" s="103" t="s">
        <v>93</v>
      </c>
      <c r="D31" s="105" t="str">
        <f>IF(C31="Complies","Pass",IF(C31="Not part of software","Software Doesn't Check","Fail"))</f>
        <v>Pass</v>
      </c>
      <c r="E31" s="6"/>
      <c r="H31" s="9">
        <f t="shared" si="1"/>
        <v>0</v>
      </c>
    </row>
    <row r="32" spans="2:8" ht="15" thickBot="1" x14ac:dyDescent="0.4">
      <c r="B32" s="247" t="str">
        <f>D_M02!B29</f>
        <v>Air Handler – in conditioned space</v>
      </c>
      <c r="C32" s="103" t="s">
        <v>93</v>
      </c>
      <c r="D32" s="105" t="str">
        <f t="shared" si="2"/>
        <v>Pass</v>
      </c>
      <c r="E32" s="6"/>
      <c r="H32" s="9">
        <f t="shared" si="1"/>
        <v>0</v>
      </c>
    </row>
    <row r="33" spans="1:8" ht="15" thickBot="1" x14ac:dyDescent="0.4">
      <c r="B33" s="247" t="str">
        <f>D_M02!B30</f>
        <v>Mechanical Ventilation</v>
      </c>
      <c r="C33" s="103" t="s">
        <v>93</v>
      </c>
      <c r="D33" s="105" t="str">
        <f t="shared" si="2"/>
        <v>Pass</v>
      </c>
      <c r="E33" s="6"/>
      <c r="H33" s="9">
        <f t="shared" si="1"/>
        <v>0</v>
      </c>
    </row>
    <row r="34" spans="1:8" ht="15" thickBot="1" x14ac:dyDescent="0.4">
      <c r="B34" s="247" t="str">
        <f>D_M02!B31</f>
        <v>Hot Water System - electric</v>
      </c>
      <c r="C34" s="103" t="s">
        <v>93</v>
      </c>
      <c r="D34" s="105" t="str">
        <f t="shared" si="2"/>
        <v>Pass</v>
      </c>
      <c r="E34" s="6"/>
      <c r="H34" s="9">
        <f t="shared" si="1"/>
        <v>0</v>
      </c>
    </row>
    <row r="35" spans="1:8" ht="15" thickBot="1" x14ac:dyDescent="0.4">
      <c r="B35" s="247" t="str">
        <f>D_M02!B32</f>
        <v>All Hot Water Lines</v>
      </c>
      <c r="C35" s="103" t="s">
        <v>56</v>
      </c>
      <c r="D35" s="105" t="str">
        <f t="shared" si="2"/>
        <v>Software Doesn't Check</v>
      </c>
      <c r="E35" s="6"/>
      <c r="H35" s="9">
        <f t="shared" si="1"/>
        <v>0</v>
      </c>
    </row>
    <row r="36" spans="1:8" ht="15" thickBot="1" x14ac:dyDescent="0.4">
      <c r="B36" s="247" t="str">
        <f>D_M02!B33</f>
        <v>Hot Water Circulation -none</v>
      </c>
      <c r="C36" s="103" t="s">
        <v>56</v>
      </c>
      <c r="D36" s="105" t="str">
        <f t="shared" si="2"/>
        <v>Software Doesn't Check</v>
      </c>
      <c r="E36" s="6"/>
      <c r="H36" s="9">
        <f t="shared" si="1"/>
        <v>0</v>
      </c>
    </row>
    <row r="37" spans="1:8" ht="15" thickBot="1" x14ac:dyDescent="0.4">
      <c r="B37" s="247" t="str">
        <f>D_M02!B34</f>
        <v>Lighting</v>
      </c>
      <c r="C37" s="103" t="s">
        <v>93</v>
      </c>
      <c r="D37" s="105" t="str">
        <f t="shared" si="2"/>
        <v>Pass</v>
      </c>
      <c r="E37" s="6"/>
      <c r="H37" s="9">
        <f t="shared" si="1"/>
        <v>0</v>
      </c>
    </row>
    <row r="38" spans="1:8" ht="15" thickBot="1" x14ac:dyDescent="0.4">
      <c r="B38" s="247" t="str">
        <f>D_M02!B35</f>
        <v>Pool and Spa - none</v>
      </c>
      <c r="C38" s="103" t="s">
        <v>56</v>
      </c>
      <c r="D38" s="105" t="str">
        <f t="shared" si="2"/>
        <v>Software Doesn't Check</v>
      </c>
      <c r="E38" s="6"/>
      <c r="H38" s="9">
        <f t="shared" si="1"/>
        <v>0</v>
      </c>
    </row>
    <row r="39" spans="1:8" ht="15" thickBot="1" x14ac:dyDescent="0.4">
      <c r="B39" s="248" t="str">
        <f>D_M02!B38</f>
        <v>Area Weighted Fenestration U-Factor Value</v>
      </c>
      <c r="C39" s="104">
        <v>0.75</v>
      </c>
      <c r="D39" s="105" t="str">
        <f>IF(C39&gt;UA_M02!M27,IF(C39&lt;=UA_M02!M28,"Pass","Fail"),"Fail")</f>
        <v>Pass</v>
      </c>
      <c r="E39" s="300"/>
      <c r="H39" s="9">
        <f t="shared" si="1"/>
        <v>0</v>
      </c>
    </row>
    <row r="40" spans="1:8" ht="15" thickBot="1" x14ac:dyDescent="0.4">
      <c r="B40" s="248" t="str">
        <f>D_M02!B39</f>
        <v>Area Weighted Fenestration SHGC Value</v>
      </c>
      <c r="C40" s="103">
        <v>0.25</v>
      </c>
      <c r="D40" s="105" t="str">
        <f>IF(C40&gt;UA_M02!Q27,IF(C40&lt;=UA_M02!Q28,"Pass","Fail"),"Fail")</f>
        <v>Pass</v>
      </c>
      <c r="E40" s="300"/>
      <c r="H40" s="9">
        <f t="shared" si="1"/>
        <v>0</v>
      </c>
    </row>
    <row r="41" spans="1:8" ht="15" thickBot="1" x14ac:dyDescent="0.4">
      <c r="B41" s="248" t="str">
        <f>D_M02!B40</f>
        <v>Total Thermal Envelope UA Value</v>
      </c>
      <c r="C41" s="110" t="s">
        <v>63</v>
      </c>
      <c r="D41" s="105" t="str">
        <f>IF(C41="Complies","Not applicable",IF(C41="Not applicable","Not applicable","Fail"))</f>
        <v>Not applicable</v>
      </c>
      <c r="E41" s="300"/>
      <c r="H41" s="9">
        <f t="shared" si="1"/>
        <v>0</v>
      </c>
    </row>
    <row r="42" spans="1:8" ht="15" thickBot="1" x14ac:dyDescent="0.4">
      <c r="B42" s="248" t="str">
        <f>D_M02!B41</f>
        <v>Area Weighted Fenestration U-Factor Result</v>
      </c>
      <c r="C42" s="103" t="s">
        <v>93</v>
      </c>
      <c r="D42" s="105" t="str">
        <f>IF(C42="Complies","Pass","Fail")</f>
        <v>Pass</v>
      </c>
      <c r="E42" s="465"/>
      <c r="H42" s="9">
        <f t="shared" si="1"/>
        <v>0</v>
      </c>
    </row>
    <row r="43" spans="1:8" ht="15" thickBot="1" x14ac:dyDescent="0.4">
      <c r="B43" s="248" t="str">
        <f>D_M02!B42</f>
        <v>Area Weighted Fenestration SHGC Result</v>
      </c>
      <c r="C43" s="103" t="s">
        <v>93</v>
      </c>
      <c r="D43" s="105" t="str">
        <f>IF(C43="Complies","Pass","Fail")</f>
        <v>Pass</v>
      </c>
      <c r="E43" s="6"/>
      <c r="H43" s="9">
        <f t="shared" si="1"/>
        <v>0</v>
      </c>
    </row>
    <row r="44" spans="1:8" ht="15" thickBot="1" x14ac:dyDescent="0.4">
      <c r="B44" s="248" t="str">
        <f>D_M02!B43</f>
        <v>Baseline Thermal Envelope UA Value</v>
      </c>
      <c r="C44" s="111" t="s">
        <v>63</v>
      </c>
      <c r="D44" s="105" t="str">
        <f>IF(C44="Complies","Not applicable",IF(C44="Not applicable","Not applicable","Fail"))</f>
        <v>Not applicable</v>
      </c>
      <c r="E44" s="6"/>
      <c r="H44" s="9">
        <f t="shared" si="1"/>
        <v>0</v>
      </c>
    </row>
    <row r="45" spans="1:8" ht="15" thickBot="1" x14ac:dyDescent="0.4">
      <c r="B45" s="248" t="str">
        <f>D_M02!B44</f>
        <v>Total Thermal Envelope UA Result</v>
      </c>
      <c r="C45" s="111" t="s">
        <v>63</v>
      </c>
      <c r="D45" s="105" t="str">
        <f>IF(C45="Complies","Not applicable",IF(C45="Not applicable","Not applicable","Fail"))</f>
        <v>Not applicable</v>
      </c>
      <c r="H45" s="9">
        <f t="shared" si="1"/>
        <v>0</v>
      </c>
    </row>
    <row r="46" spans="1:8" ht="15" thickBot="1" x14ac:dyDescent="0.4">
      <c r="B46" s="248" t="str">
        <f>D_M02!B45</f>
        <v>House Complies?</v>
      </c>
      <c r="C46" s="103" t="s">
        <v>120</v>
      </c>
      <c r="D46" s="105" t="str">
        <f>IF(C46="No","Pass","Fail")</f>
        <v>Pass</v>
      </c>
      <c r="H46" s="9">
        <f t="shared" si="1"/>
        <v>0</v>
      </c>
    </row>
    <row r="47" spans="1:8" ht="21.65" customHeight="1" x14ac:dyDescent="0.6">
      <c r="B47" s="19"/>
      <c r="C47" s="15" t="s">
        <v>94</v>
      </c>
      <c r="D47" s="16" t="str">
        <f>IF(H47&gt;0,"FAIL","PASS")</f>
        <v>PASS</v>
      </c>
      <c r="H47" s="256">
        <f xml:space="preserve"> SUM(H11:H46)</f>
        <v>0</v>
      </c>
    </row>
    <row r="48" spans="1:8" ht="7.9" customHeight="1" x14ac:dyDescent="0.35">
      <c r="A48" s="13"/>
      <c r="B48" s="20"/>
      <c r="C48" s="17"/>
      <c r="D48" s="18"/>
      <c r="E48" s="13"/>
      <c r="F48" s="13"/>
      <c r="G48" s="13"/>
    </row>
    <row r="49" spans="1:8" x14ac:dyDescent="0.35">
      <c r="B49" s="19"/>
      <c r="C49" s="12"/>
      <c r="D49" s="11"/>
    </row>
    <row r="50" spans="1:8" ht="7.9" hidden="1" customHeight="1" x14ac:dyDescent="0.35">
      <c r="A50" s="2"/>
      <c r="B50" s="21"/>
      <c r="C50" s="2"/>
      <c r="D50" s="2"/>
      <c r="E50" s="2"/>
      <c r="F50" s="2"/>
      <c r="G50" s="2"/>
    </row>
    <row r="51" spans="1:8" hidden="1" x14ac:dyDescent="0.35">
      <c r="B51" s="19"/>
    </row>
    <row r="52" spans="1:8" ht="33" hidden="1" customHeight="1" x14ac:dyDescent="0.35">
      <c r="B52" s="114" t="s">
        <v>25</v>
      </c>
      <c r="C52" s="305" t="s">
        <v>27</v>
      </c>
      <c r="D52" s="507" t="str">
        <f>IF(Instructions!D2="","Enter Vendor's Software Name In Instruction Sheet",Instructions!D2)</f>
        <v xml:space="preserve">EnergyGauge USA </v>
      </c>
      <c r="E52" s="507"/>
    </row>
    <row r="53" spans="1:8" hidden="1" x14ac:dyDescent="0.35">
      <c r="B53" s="22" t="s">
        <v>76</v>
      </c>
    </row>
    <row r="54" spans="1:8" hidden="1" x14ac:dyDescent="0.35">
      <c r="B54" s="30" t="s">
        <v>112</v>
      </c>
      <c r="C54" s="1"/>
      <c r="D54" s="8" t="s">
        <v>84</v>
      </c>
      <c r="E54" s="8"/>
    </row>
    <row r="55" spans="1:8" hidden="1" x14ac:dyDescent="0.35">
      <c r="B55" s="31" t="s">
        <v>113</v>
      </c>
      <c r="C55" s="3"/>
      <c r="D55" s="3"/>
    </row>
    <row r="56" spans="1:8" hidden="1" x14ac:dyDescent="0.35">
      <c r="B56" s="250" t="str">
        <f>D_M02!B4</f>
        <v>House Pr-M02</v>
      </c>
      <c r="C56" s="10" t="s">
        <v>77</v>
      </c>
      <c r="D56" s="4"/>
      <c r="E56" s="10" t="s">
        <v>243</v>
      </c>
      <c r="F56" s="116" t="s">
        <v>88</v>
      </c>
    </row>
    <row r="57" spans="1:8" ht="15" hidden="1" thickBot="1" x14ac:dyDescent="0.4">
      <c r="B57" s="19"/>
      <c r="C57" s="10" t="s">
        <v>87</v>
      </c>
      <c r="D57" s="10" t="s">
        <v>77</v>
      </c>
      <c r="E57" s="10" t="s">
        <v>86</v>
      </c>
      <c r="F57" s="10" t="s">
        <v>89</v>
      </c>
    </row>
    <row r="58" spans="1:8" ht="15" hidden="1" thickBot="1" x14ac:dyDescent="0.4">
      <c r="B58" s="246" t="str">
        <f>D_M02!B8</f>
        <v>Raised Floor1</v>
      </c>
      <c r="C58" s="106"/>
      <c r="D58" s="106"/>
      <c r="E58" s="103"/>
      <c r="F58" s="105" t="str">
        <f>IF(E58="Complies","Pass","Fail")</f>
        <v>Fail</v>
      </c>
      <c r="H58" s="9">
        <f>IF(OR(F58="Not applicable",F58="Software Doesn't Check",F58="Pass"),0,1)</f>
        <v>1</v>
      </c>
    </row>
    <row r="59" spans="1:8" ht="15" hidden="1" customHeight="1" thickBot="1" x14ac:dyDescent="0.4">
      <c r="B59" s="247" t="str">
        <f>D_M02!B9</f>
        <v>Roof – gable type- 5 in 12 slope No overhangs</v>
      </c>
      <c r="C59" s="106"/>
      <c r="D59" s="106"/>
      <c r="E59" s="103"/>
      <c r="F59" s="105" t="str">
        <f>IF(E59="Complies","Pass","Fail")</f>
        <v>Fail</v>
      </c>
      <c r="H59" s="9">
        <f t="shared" ref="H59:H93" si="3">IF(OR(F59="Not applicable",F59="Software Doesn't Check",F59="Pass"),0,1)</f>
        <v>1</v>
      </c>
    </row>
    <row r="60" spans="1:8" ht="15" hidden="1" customHeight="1" thickBot="1" x14ac:dyDescent="0.4">
      <c r="B60" s="247" t="str">
        <f>D_M02!B10</f>
        <v>Ceiling2 –flat under attic</v>
      </c>
      <c r="C60" s="103"/>
      <c r="D60" s="103"/>
      <c r="E60" s="103"/>
      <c r="F60" s="105" t="str">
        <f>IF(E60="Complies","Pass","Fail")</f>
        <v>Fail</v>
      </c>
      <c r="H60" s="9">
        <f t="shared" si="3"/>
        <v>1</v>
      </c>
    </row>
    <row r="61" spans="1:8" ht="15" hidden="1" customHeight="1" thickBot="1" x14ac:dyDescent="0.4">
      <c r="B61" s="247" t="str">
        <f>D_M02!B11</f>
        <v xml:space="preserve">        Skylight</v>
      </c>
      <c r="C61" s="106"/>
      <c r="D61" s="216">
        <f>D_M02!E11</f>
        <v>0.75</v>
      </c>
      <c r="E61" s="103"/>
      <c r="F61" s="105" t="str">
        <f>IF(E61="Complies","Pass","Fail")</f>
        <v>Fail</v>
      </c>
      <c r="H61" s="9">
        <f t="shared" si="3"/>
        <v>1</v>
      </c>
    </row>
    <row r="62" spans="1:8" ht="15" hidden="1" customHeight="1" thickBot="1" x14ac:dyDescent="0.4">
      <c r="B62" s="247" t="str">
        <f>D_M02!B12</f>
        <v>Wall 1 –faces North, Steel Frame3</v>
      </c>
      <c r="C62" s="103"/>
      <c r="D62" s="103"/>
      <c r="E62" s="103"/>
      <c r="F62" s="105" t="str">
        <f>IF(E62="U-Factor too high","Pass","Fail")</f>
        <v>Fail</v>
      </c>
      <c r="H62" s="9">
        <f t="shared" si="3"/>
        <v>1</v>
      </c>
    </row>
    <row r="63" spans="1:8" ht="15" hidden="1" customHeight="1" thickBot="1" x14ac:dyDescent="0.4">
      <c r="B63" s="247" t="str">
        <f>D_M02!B13</f>
        <v xml:space="preserve">        Door 1 - </v>
      </c>
      <c r="C63" s="106"/>
      <c r="D63" s="216">
        <f>D_M02!E13</f>
        <v>0.65</v>
      </c>
      <c r="E63" s="110" t="s">
        <v>63</v>
      </c>
      <c r="F63" s="105" t="s">
        <v>63</v>
      </c>
      <c r="H63" s="9">
        <f t="shared" si="3"/>
        <v>0</v>
      </c>
    </row>
    <row r="64" spans="1:8" ht="15" hidden="1" customHeight="1" thickBot="1" x14ac:dyDescent="0.4">
      <c r="B64" s="247" t="str">
        <f>D_M02!B14</f>
        <v xml:space="preserve">        Window 1 – Vinyl Frame Impact Resistance Glass</v>
      </c>
      <c r="C64" s="106"/>
      <c r="D64" s="216">
        <f>D_M02!E14</f>
        <v>0.75</v>
      </c>
      <c r="E64" s="110" t="s">
        <v>63</v>
      </c>
      <c r="F64" s="105" t="s">
        <v>63</v>
      </c>
      <c r="H64" s="9">
        <f t="shared" si="3"/>
        <v>0</v>
      </c>
    </row>
    <row r="65" spans="2:8" ht="15" hidden="1" customHeight="1" thickBot="1" x14ac:dyDescent="0.4">
      <c r="B65" s="247" t="str">
        <f>D_M02!B15</f>
        <v>Wall 2 –faces South, Steel Frame</v>
      </c>
      <c r="C65" s="103"/>
      <c r="D65" s="103"/>
      <c r="E65" s="103"/>
      <c r="F65" s="105" t="str">
        <f>IF(E65="U-Factor too high","Pass","Fail")</f>
        <v>Fail</v>
      </c>
      <c r="H65" s="9">
        <f t="shared" si="3"/>
        <v>1</v>
      </c>
    </row>
    <row r="66" spans="2:8" ht="15" hidden="1" customHeight="1" thickBot="1" x14ac:dyDescent="0.4">
      <c r="B66" s="247" t="str">
        <f>D_M02!B16</f>
        <v xml:space="preserve">        Window 2 – Vinyl Frame Impact Resistance Glass</v>
      </c>
      <c r="C66" s="106"/>
      <c r="D66" s="216">
        <f>D_M02!E16</f>
        <v>0.75</v>
      </c>
      <c r="E66" s="110" t="s">
        <v>63</v>
      </c>
      <c r="F66" s="105" t="s">
        <v>63</v>
      </c>
      <c r="H66" s="9">
        <f t="shared" si="3"/>
        <v>0</v>
      </c>
    </row>
    <row r="67" spans="2:8" ht="15" hidden="1" customHeight="1" thickBot="1" x14ac:dyDescent="0.4">
      <c r="B67" s="247" t="str">
        <f>D_M02!B17</f>
        <v>Wall 3 –faces South, Steel Frame</v>
      </c>
      <c r="C67" s="103"/>
      <c r="D67" s="103"/>
      <c r="E67" s="103"/>
      <c r="F67" s="105" t="str">
        <f>IF(E67="U-Factor too high","Pass","Fail")</f>
        <v>Fail</v>
      </c>
      <c r="H67" s="9">
        <f t="shared" si="3"/>
        <v>1</v>
      </c>
    </row>
    <row r="68" spans="2:8" ht="15" hidden="1" customHeight="1" thickBot="1" x14ac:dyDescent="0.4">
      <c r="B68" s="247" t="str">
        <f>D_M02!B18</f>
        <v xml:space="preserve">        Window 3 – Vinyl Frame Impact Resistance Glass</v>
      </c>
      <c r="C68" s="106"/>
      <c r="D68" s="216">
        <f>D_M02!E18</f>
        <v>0.75</v>
      </c>
      <c r="E68" s="110" t="s">
        <v>63</v>
      </c>
      <c r="F68" s="105" t="s">
        <v>63</v>
      </c>
      <c r="H68" s="9">
        <f t="shared" si="3"/>
        <v>0</v>
      </c>
    </row>
    <row r="69" spans="2:8" ht="15" hidden="1" customHeight="1" thickBot="1" x14ac:dyDescent="0.4">
      <c r="B69" s="247" t="str">
        <f>D_M02!B19</f>
        <v xml:space="preserve">Wall 4 –faces South, Wood4 2x4 </v>
      </c>
      <c r="C69" s="103"/>
      <c r="D69" s="103"/>
      <c r="E69" s="103"/>
      <c r="F69" s="105" t="str">
        <f>IF(E69="U-Factor too high","Pass","Fail")</f>
        <v>Fail</v>
      </c>
      <c r="H69" s="9">
        <f t="shared" si="3"/>
        <v>1</v>
      </c>
    </row>
    <row r="70" spans="2:8" ht="15" hidden="1" customHeight="1" thickBot="1" x14ac:dyDescent="0.4">
      <c r="B70" s="247" t="str">
        <f>D_M02!B20</f>
        <v xml:space="preserve">        Window 4 – Vinyl Frame  Impact Resistance Glass</v>
      </c>
      <c r="C70" s="106"/>
      <c r="D70" s="216">
        <f>D_M02!E20</f>
        <v>0.75</v>
      </c>
      <c r="E70" s="110" t="s">
        <v>63</v>
      </c>
      <c r="F70" s="105" t="s">
        <v>63</v>
      </c>
      <c r="H70" s="9">
        <f t="shared" si="3"/>
        <v>0</v>
      </c>
    </row>
    <row r="71" spans="2:8" ht="15" hidden="1" customHeight="1" thickBot="1" x14ac:dyDescent="0.4">
      <c r="B71" s="247" t="str">
        <f>D_M02!B21</f>
        <v>Wall 5 –faces West, Steel Frame</v>
      </c>
      <c r="C71" s="103"/>
      <c r="D71" s="103"/>
      <c r="E71" s="103"/>
      <c r="F71" s="105" t="str">
        <f>IF(E71="U-Factor too high","Pass","Fail")</f>
        <v>Fail</v>
      </c>
      <c r="H71" s="9">
        <f t="shared" si="3"/>
        <v>1</v>
      </c>
    </row>
    <row r="72" spans="2:8" ht="15" hidden="1" customHeight="1" thickBot="1" x14ac:dyDescent="0.4">
      <c r="B72" s="247" t="str">
        <f>D_M02!B22</f>
        <v xml:space="preserve">        Window 5 – Vinyl Frame Impact Resistance Glass</v>
      </c>
      <c r="C72" s="106"/>
      <c r="D72" s="216">
        <f>D_M02!E22</f>
        <v>0.75</v>
      </c>
      <c r="E72" s="110" t="s">
        <v>63</v>
      </c>
      <c r="F72" s="105" t="s">
        <v>63</v>
      </c>
      <c r="H72" s="9">
        <f t="shared" si="3"/>
        <v>0</v>
      </c>
    </row>
    <row r="73" spans="2:8" ht="15" hidden="1" customHeight="1" thickBot="1" x14ac:dyDescent="0.4">
      <c r="B73" s="247" t="str">
        <f>D_M02!B23</f>
        <v>Infiltration</v>
      </c>
      <c r="C73" s="106"/>
      <c r="D73" s="106"/>
      <c r="E73" s="112"/>
      <c r="F73" s="105" t="str">
        <f>IF(E73="Complies","Pass",IF(E73="Not part of software","Software Doesn't Check","Fail"))</f>
        <v>Fail</v>
      </c>
      <c r="H73" s="9">
        <f t="shared" si="3"/>
        <v>1</v>
      </c>
    </row>
    <row r="74" spans="2:8" ht="15" hidden="1" customHeight="1" thickBot="1" x14ac:dyDescent="0.4">
      <c r="B74" s="247" t="str">
        <f>D_M02!B24</f>
        <v>Heating – heat pump</v>
      </c>
      <c r="C74" s="106"/>
      <c r="D74" s="106"/>
      <c r="E74" s="113"/>
      <c r="F74" s="105" t="str">
        <f>IF(E74="Complies","Pass",IF(E74="Not part of software","Software Doesn't Check","Fail"))</f>
        <v>Fail</v>
      </c>
      <c r="H74" s="9">
        <f t="shared" si="3"/>
        <v>1</v>
      </c>
    </row>
    <row r="75" spans="2:8" ht="15" hidden="1" customHeight="1" thickBot="1" x14ac:dyDescent="0.4">
      <c r="B75" s="247" t="str">
        <f>D_M02!B25</f>
        <v>Cooling – heat pump</v>
      </c>
      <c r="C75" s="106"/>
      <c r="D75" s="106"/>
      <c r="E75" s="112"/>
      <c r="F75" s="105" t="str">
        <f>IF(E75="Complies","Pass",IF(E75="Not part of software","Software Doesn't Check","Fail"))</f>
        <v>Fail</v>
      </c>
      <c r="H75" s="9">
        <f t="shared" si="3"/>
        <v>1</v>
      </c>
    </row>
    <row r="76" spans="2:8" ht="15" hidden="1" customHeight="1" thickBot="1" x14ac:dyDescent="0.4">
      <c r="B76" s="247" t="str">
        <f>D_M02!B26</f>
        <v>Ducts – supply in attic</v>
      </c>
      <c r="C76" s="106"/>
      <c r="D76" s="106"/>
      <c r="E76" s="112"/>
      <c r="F76" s="105" t="str">
        <f>IF(E76="Complies","Pass",IF(E76="Not part of software","Software Doesn't Check","Fail"))</f>
        <v>Fail</v>
      </c>
      <c r="H76" s="9">
        <f t="shared" si="3"/>
        <v>1</v>
      </c>
    </row>
    <row r="77" spans="2:8" ht="15" hidden="1" customHeight="1" thickBot="1" x14ac:dyDescent="0.4">
      <c r="B77" s="247" t="str">
        <f>D_M02!B27</f>
        <v>Ducts – return in conditioned space</v>
      </c>
      <c r="C77" s="106"/>
      <c r="D77" s="106"/>
      <c r="E77" s="112"/>
      <c r="F77" s="105" t="str">
        <f t="shared" ref="F77:F85" si="4">IF(E77="Complies","Pass",IF(E77="Not part of software","Software Doesn't Check","Fail"))</f>
        <v>Fail</v>
      </c>
      <c r="H77" s="9">
        <f t="shared" si="3"/>
        <v>1</v>
      </c>
    </row>
    <row r="78" spans="2:8" ht="15" hidden="1" customHeight="1" thickBot="1" x14ac:dyDescent="0.4">
      <c r="B78" s="247" t="str">
        <f>D_M02!B28</f>
        <v>Duct Tightness</v>
      </c>
      <c r="C78" s="106"/>
      <c r="D78" s="106"/>
      <c r="E78" s="112"/>
      <c r="F78" s="105" t="str">
        <f t="shared" si="4"/>
        <v>Fail</v>
      </c>
      <c r="H78" s="9">
        <f t="shared" si="3"/>
        <v>1</v>
      </c>
    </row>
    <row r="79" spans="2:8" ht="15" hidden="1" customHeight="1" thickBot="1" x14ac:dyDescent="0.4">
      <c r="B79" s="247" t="str">
        <f>D_M02!B29</f>
        <v>Air Handler – in conditioned space</v>
      </c>
      <c r="C79" s="106"/>
      <c r="D79" s="106"/>
      <c r="E79" s="112"/>
      <c r="F79" s="105" t="str">
        <f t="shared" si="4"/>
        <v>Fail</v>
      </c>
      <c r="H79" s="9">
        <f t="shared" si="3"/>
        <v>1</v>
      </c>
    </row>
    <row r="80" spans="2:8" ht="15" hidden="1" customHeight="1" thickBot="1" x14ac:dyDescent="0.4">
      <c r="B80" s="247" t="str">
        <f>D_M02!B30</f>
        <v>Mechanical Ventilation</v>
      </c>
      <c r="C80" s="106"/>
      <c r="D80" s="106"/>
      <c r="E80" s="103"/>
      <c r="F80" s="105" t="str">
        <f t="shared" si="4"/>
        <v>Fail</v>
      </c>
      <c r="H80" s="9">
        <f t="shared" si="3"/>
        <v>1</v>
      </c>
    </row>
    <row r="81" spans="1:8" ht="15" hidden="1" customHeight="1" thickBot="1" x14ac:dyDescent="0.4">
      <c r="B81" s="247" t="str">
        <f>D_M02!B31</f>
        <v>Hot Water System - electric</v>
      </c>
      <c r="C81" s="106"/>
      <c r="D81" s="106"/>
      <c r="E81" s="112"/>
      <c r="F81" s="105" t="str">
        <f t="shared" si="4"/>
        <v>Fail</v>
      </c>
      <c r="H81" s="9">
        <f t="shared" si="3"/>
        <v>1</v>
      </c>
    </row>
    <row r="82" spans="1:8" ht="15" hidden="1" customHeight="1" thickBot="1" x14ac:dyDescent="0.4">
      <c r="B82" s="247" t="str">
        <f>D_M02!B32</f>
        <v>All Hot Water Lines</v>
      </c>
      <c r="C82" s="106"/>
      <c r="D82" s="106"/>
      <c r="E82" s="112"/>
      <c r="F82" s="105" t="str">
        <f t="shared" si="4"/>
        <v>Fail</v>
      </c>
      <c r="H82" s="9">
        <f t="shared" si="3"/>
        <v>1</v>
      </c>
    </row>
    <row r="83" spans="1:8" ht="15" hidden="1" customHeight="1" thickBot="1" x14ac:dyDescent="0.4">
      <c r="B83" s="247" t="str">
        <f>D_M02!B33</f>
        <v>Hot Water Circulation -none</v>
      </c>
      <c r="C83" s="106"/>
      <c r="D83" s="106"/>
      <c r="E83" s="112"/>
      <c r="F83" s="105" t="str">
        <f t="shared" si="4"/>
        <v>Fail</v>
      </c>
      <c r="H83" s="9">
        <f t="shared" si="3"/>
        <v>1</v>
      </c>
    </row>
    <row r="84" spans="1:8" ht="15" hidden="1" customHeight="1" thickBot="1" x14ac:dyDescent="0.4">
      <c r="B84" s="247" t="str">
        <f>D_M02!B34</f>
        <v>Lighting</v>
      </c>
      <c r="C84" s="106"/>
      <c r="D84" s="106"/>
      <c r="E84" s="112"/>
      <c r="F84" s="105" t="str">
        <f t="shared" si="4"/>
        <v>Fail</v>
      </c>
      <c r="H84" s="9">
        <f t="shared" si="3"/>
        <v>1</v>
      </c>
    </row>
    <row r="85" spans="1:8" ht="15" hidden="1" customHeight="1" thickBot="1" x14ac:dyDescent="0.4">
      <c r="B85" s="247" t="str">
        <f>D_M02!B35</f>
        <v>Pool and Spa - none</v>
      </c>
      <c r="C85" s="106"/>
      <c r="D85" s="106"/>
      <c r="E85" s="112"/>
      <c r="F85" s="105" t="str">
        <f t="shared" si="4"/>
        <v>Fail</v>
      </c>
      <c r="H85" s="9">
        <f t="shared" si="3"/>
        <v>1</v>
      </c>
    </row>
    <row r="86" spans="1:8" ht="15" hidden="1" customHeight="1" thickBot="1" x14ac:dyDescent="0.4">
      <c r="B86" s="248" t="str">
        <f>D_M02!B38</f>
        <v>Area Weighted Fenestration U-Factor Value</v>
      </c>
      <c r="C86" s="106"/>
      <c r="D86" s="106"/>
      <c r="E86" s="104"/>
      <c r="F86" s="105" t="str">
        <f>IF(E86&gt;UA_M02!O27,IF(E86&lt;=UA_M02!O28,"Pass","Fail"),"Fail")</f>
        <v>Fail</v>
      </c>
      <c r="H86" s="9">
        <f t="shared" si="3"/>
        <v>1</v>
      </c>
    </row>
    <row r="87" spans="1:8" ht="15" hidden="1" customHeight="1" thickBot="1" x14ac:dyDescent="0.4">
      <c r="B87" s="248" t="str">
        <f>D_M02!B39</f>
        <v>Area Weighted Fenestration SHGC Value</v>
      </c>
      <c r="C87" s="106"/>
      <c r="D87" s="106"/>
      <c r="E87" s="103"/>
      <c r="F87" s="105" t="str">
        <f>IF(E87&gt;UA_M02!S27,IF(E87&lt;=UA_M02!S28,"Pass","Fail"),"Fail")</f>
        <v>Fail</v>
      </c>
      <c r="H87" s="9">
        <f t="shared" si="3"/>
        <v>1</v>
      </c>
    </row>
    <row r="88" spans="1:8" ht="15" hidden="1" customHeight="1" thickBot="1" x14ac:dyDescent="0.4">
      <c r="B88" s="248" t="str">
        <f>D_M02!B40</f>
        <v>Total Thermal Envelope UA Value</v>
      </c>
      <c r="C88" s="106"/>
      <c r="D88" s="106"/>
      <c r="E88" s="110" t="s">
        <v>63</v>
      </c>
      <c r="F88" s="105" t="s">
        <v>63</v>
      </c>
      <c r="H88" s="9">
        <f t="shared" si="3"/>
        <v>0</v>
      </c>
    </row>
    <row r="89" spans="1:8" ht="15" hidden="1" customHeight="1" thickBot="1" x14ac:dyDescent="0.4">
      <c r="B89" s="248" t="str">
        <f>D_M02!B41</f>
        <v>Area Weighted Fenestration U-Factor Result</v>
      </c>
      <c r="C89" s="106"/>
      <c r="D89" s="110"/>
      <c r="E89" s="103"/>
      <c r="F89" s="105" t="str">
        <f>IF(E89="Average U too high","Pass","Fail")</f>
        <v>Fail</v>
      </c>
      <c r="H89" s="9">
        <f t="shared" si="3"/>
        <v>1</v>
      </c>
    </row>
    <row r="90" spans="1:8" ht="15" hidden="1" customHeight="1" thickBot="1" x14ac:dyDescent="0.4">
      <c r="B90" s="248" t="str">
        <f>D_M02!B42</f>
        <v>Area Weighted Fenestration SHGC Result</v>
      </c>
      <c r="C90" s="106"/>
      <c r="D90" s="110"/>
      <c r="E90" s="103"/>
      <c r="F90" s="105" t="str">
        <f>IF(E90="Complies","Pass","Fail")</f>
        <v>Fail</v>
      </c>
      <c r="H90" s="9">
        <f t="shared" si="3"/>
        <v>1</v>
      </c>
    </row>
    <row r="91" spans="1:8" ht="15" hidden="1" customHeight="1" thickBot="1" x14ac:dyDescent="0.4">
      <c r="B91" s="248" t="str">
        <f>D_M02!B43</f>
        <v>Baseline Thermal Envelope UA Value</v>
      </c>
      <c r="C91" s="106"/>
      <c r="D91" s="110"/>
      <c r="E91" s="110" t="s">
        <v>63</v>
      </c>
      <c r="F91" s="105" t="s">
        <v>63</v>
      </c>
      <c r="H91" s="9">
        <f t="shared" si="3"/>
        <v>0</v>
      </c>
    </row>
    <row r="92" spans="1:8" ht="15" hidden="1" customHeight="1" thickBot="1" x14ac:dyDescent="0.4">
      <c r="B92" s="248" t="str">
        <f>D_M02!B44</f>
        <v>Total Thermal Envelope UA Result</v>
      </c>
      <c r="C92" s="106"/>
      <c r="D92" s="110"/>
      <c r="E92" s="110" t="s">
        <v>63</v>
      </c>
      <c r="F92" s="105" t="s">
        <v>63</v>
      </c>
      <c r="H92" s="9">
        <f t="shared" si="3"/>
        <v>0</v>
      </c>
    </row>
    <row r="93" spans="1:8" ht="15" hidden="1" customHeight="1" thickBot="1" x14ac:dyDescent="0.4">
      <c r="B93" s="248" t="str">
        <f>D_M02!B45</f>
        <v>House Complies?</v>
      </c>
      <c r="C93" s="106"/>
      <c r="D93" s="110"/>
      <c r="E93" s="103"/>
      <c r="F93" s="105" t="str">
        <f>IF(E93="No","Pass","Fail")</f>
        <v>Fail</v>
      </c>
      <c r="H93" s="9">
        <f t="shared" si="3"/>
        <v>1</v>
      </c>
    </row>
    <row r="94" spans="1:8" ht="21" hidden="1" customHeight="1" x14ac:dyDescent="0.6">
      <c r="B94" s="19"/>
      <c r="E94" s="24" t="s">
        <v>85</v>
      </c>
      <c r="F94" s="16" t="str">
        <f>IF(H94&gt;0,"FAIL","PASS")</f>
        <v>FAIL</v>
      </c>
      <c r="H94" s="256">
        <f xml:space="preserve"> SUM(H58:H93)</f>
        <v>27</v>
      </c>
    </row>
    <row r="95" spans="1:8" ht="7.9" hidden="1" customHeight="1" x14ac:dyDescent="0.35">
      <c r="A95" s="2"/>
      <c r="B95" s="21"/>
      <c r="C95" s="2"/>
      <c r="D95" s="2"/>
      <c r="E95" s="25"/>
      <c r="F95" s="2"/>
    </row>
    <row r="96" spans="1:8" x14ac:dyDescent="0.35">
      <c r="B96" s="19"/>
      <c r="E96" s="26"/>
    </row>
    <row r="97" spans="1:8" ht="7.9" customHeight="1" x14ac:dyDescent="0.35">
      <c r="A97" s="14"/>
      <c r="B97" s="23"/>
      <c r="C97" s="14"/>
      <c r="D97" s="14"/>
      <c r="E97" s="27"/>
      <c r="F97" s="14"/>
    </row>
    <row r="98" spans="1:8" x14ac:dyDescent="0.35">
      <c r="B98" s="19"/>
      <c r="E98" s="26"/>
    </row>
    <row r="99" spans="1:8" ht="32.25" customHeight="1" x14ac:dyDescent="0.35">
      <c r="B99" s="115" t="s">
        <v>25</v>
      </c>
      <c r="C99" s="258" t="s">
        <v>27</v>
      </c>
      <c r="D99" s="507" t="str">
        <f>IF(Instructions!D2="","Enter Vendor's Software Name In Instruction Sheet",Instructions!D2)</f>
        <v xml:space="preserve">EnergyGauge USA </v>
      </c>
      <c r="E99" s="507"/>
    </row>
    <row r="100" spans="1:8" x14ac:dyDescent="0.35">
      <c r="B100" s="22" t="s">
        <v>79</v>
      </c>
      <c r="E100" s="26"/>
    </row>
    <row r="101" spans="1:8" x14ac:dyDescent="0.35">
      <c r="B101" s="30" t="s">
        <v>112</v>
      </c>
      <c r="C101" s="1"/>
      <c r="D101" s="8" t="s">
        <v>84</v>
      </c>
      <c r="E101" s="28"/>
    </row>
    <row r="102" spans="1:8" x14ac:dyDescent="0.35">
      <c r="B102" s="31" t="s">
        <v>113</v>
      </c>
      <c r="C102" s="3"/>
      <c r="D102" s="3"/>
      <c r="E102" s="26"/>
    </row>
    <row r="103" spans="1:8" x14ac:dyDescent="0.35">
      <c r="B103" s="250" t="str">
        <f>D_M02!B4</f>
        <v>House Pr-M02</v>
      </c>
      <c r="C103" s="10" t="s">
        <v>77</v>
      </c>
      <c r="D103" s="10"/>
      <c r="E103" s="29" t="s">
        <v>243</v>
      </c>
      <c r="F103" s="116" t="s">
        <v>88</v>
      </c>
    </row>
    <row r="104" spans="1:8" ht="15" thickBot="1" x14ac:dyDescent="0.4">
      <c r="B104" s="19"/>
      <c r="C104" s="10" t="s">
        <v>87</v>
      </c>
      <c r="D104" s="10" t="s">
        <v>77</v>
      </c>
      <c r="E104" s="29" t="s">
        <v>86</v>
      </c>
      <c r="F104" s="116" t="s">
        <v>90</v>
      </c>
    </row>
    <row r="105" spans="1:8" ht="15" thickBot="1" x14ac:dyDescent="0.4">
      <c r="B105" s="246" t="str">
        <f>D_M02!B8</f>
        <v>Raised Floor1</v>
      </c>
      <c r="C105" s="106"/>
      <c r="D105" s="106"/>
      <c r="E105" s="110" t="s">
        <v>63</v>
      </c>
      <c r="F105" s="105" t="s">
        <v>63</v>
      </c>
      <c r="H105" s="9">
        <f t="shared" ref="H105:H140" si="5">IF(OR(F105="Not applicable",F105="Software Doesn't Check",F105="Pass"),0,1)</f>
        <v>0</v>
      </c>
    </row>
    <row r="106" spans="1:8" ht="17.25" customHeight="1" thickBot="1" x14ac:dyDescent="0.4">
      <c r="B106" s="247" t="str">
        <f>D_M02!B9</f>
        <v>Roof – gable type- 5 in 12 slope No overhangs</v>
      </c>
      <c r="C106" s="106"/>
      <c r="D106" s="106"/>
      <c r="E106" s="110" t="s">
        <v>63</v>
      </c>
      <c r="F106" s="105" t="s">
        <v>63</v>
      </c>
      <c r="H106" s="9">
        <f t="shared" si="5"/>
        <v>0</v>
      </c>
    </row>
    <row r="107" spans="1:8" ht="17.25" customHeight="1" thickBot="1" x14ac:dyDescent="0.4">
      <c r="B107" s="247" t="str">
        <f>D_M02!B10</f>
        <v>Ceiling2 –flat under attic</v>
      </c>
      <c r="C107" s="103" t="s">
        <v>118</v>
      </c>
      <c r="D107" s="103">
        <v>3.4000000000000002E-2</v>
      </c>
      <c r="E107" s="110" t="s">
        <v>63</v>
      </c>
      <c r="F107" s="105" t="s">
        <v>63</v>
      </c>
      <c r="H107" s="9">
        <f t="shared" si="5"/>
        <v>0</v>
      </c>
    </row>
    <row r="108" spans="1:8" ht="17.25" customHeight="1" thickBot="1" x14ac:dyDescent="0.4">
      <c r="B108" s="247" t="str">
        <f>D_M02!B11</f>
        <v xml:space="preserve">        Skylight</v>
      </c>
      <c r="C108" s="110"/>
      <c r="D108" s="217">
        <f>D_M02!E11</f>
        <v>0.75</v>
      </c>
      <c r="E108" s="103" t="s">
        <v>93</v>
      </c>
      <c r="F108" s="105" t="str">
        <f>IF(E108="Complies","Pass","Fail")</f>
        <v>Pass</v>
      </c>
      <c r="H108" s="9">
        <f t="shared" si="5"/>
        <v>0</v>
      </c>
    </row>
    <row r="109" spans="1:8" ht="17.25" customHeight="1" thickBot="1" x14ac:dyDescent="0.4">
      <c r="B109" s="247" t="str">
        <f>D_M02!B12</f>
        <v>Wall 1 –faces North, Steel Frame3</v>
      </c>
      <c r="C109" s="103" t="s">
        <v>118</v>
      </c>
      <c r="D109" s="103">
        <v>0.157</v>
      </c>
      <c r="E109" s="110" t="s">
        <v>63</v>
      </c>
      <c r="F109" s="105" t="s">
        <v>63</v>
      </c>
      <c r="H109" s="9">
        <f t="shared" si="5"/>
        <v>0</v>
      </c>
    </row>
    <row r="110" spans="1:8" ht="17.25" customHeight="1" thickBot="1" x14ac:dyDescent="0.4">
      <c r="B110" s="247" t="str">
        <f>D_M02!B13</f>
        <v xml:space="preserve">        Door 1 - </v>
      </c>
      <c r="C110" s="110"/>
      <c r="D110" s="217">
        <f>D_M02!E13</f>
        <v>0.65</v>
      </c>
      <c r="E110" s="110" t="s">
        <v>63</v>
      </c>
      <c r="F110" s="105" t="s">
        <v>63</v>
      </c>
      <c r="H110" s="9">
        <f t="shared" si="5"/>
        <v>0</v>
      </c>
    </row>
    <row r="111" spans="1:8" ht="17.25" customHeight="1" thickBot="1" x14ac:dyDescent="0.4">
      <c r="B111" s="247" t="str">
        <f>D_M02!B14</f>
        <v xml:space="preserve">        Window 1 – Vinyl Frame Impact Resistance Glass</v>
      </c>
      <c r="C111" s="110"/>
      <c r="D111" s="217">
        <f>D_M02!E14</f>
        <v>0.75</v>
      </c>
      <c r="E111" s="110" t="s">
        <v>63</v>
      </c>
      <c r="F111" s="105" t="s">
        <v>63</v>
      </c>
      <c r="H111" s="9">
        <f t="shared" si="5"/>
        <v>0</v>
      </c>
    </row>
    <row r="112" spans="1:8" ht="17.25" customHeight="1" thickBot="1" x14ac:dyDescent="0.4">
      <c r="B112" s="247" t="str">
        <f>D_M02!B15</f>
        <v>Wall 2 –faces South, Steel Frame</v>
      </c>
      <c r="C112" s="103" t="s">
        <v>118</v>
      </c>
      <c r="D112" s="103">
        <v>0.157</v>
      </c>
      <c r="E112" s="110" t="s">
        <v>63</v>
      </c>
      <c r="F112" s="105" t="s">
        <v>63</v>
      </c>
      <c r="H112" s="9">
        <f t="shared" si="5"/>
        <v>0</v>
      </c>
    </row>
    <row r="113" spans="2:8" ht="17.25" customHeight="1" thickBot="1" x14ac:dyDescent="0.4">
      <c r="B113" s="247" t="str">
        <f>D_M02!B16</f>
        <v xml:space="preserve">        Window 2 – Vinyl Frame Impact Resistance Glass</v>
      </c>
      <c r="C113" s="110"/>
      <c r="D113" s="217">
        <f>D_M02!E16</f>
        <v>0.75</v>
      </c>
      <c r="E113" s="110" t="s">
        <v>63</v>
      </c>
      <c r="F113" s="105" t="s">
        <v>63</v>
      </c>
      <c r="H113" s="9">
        <f t="shared" si="5"/>
        <v>0</v>
      </c>
    </row>
    <row r="114" spans="2:8" ht="17.25" customHeight="1" thickBot="1" x14ac:dyDescent="0.4">
      <c r="B114" s="247" t="str">
        <f>D_M02!B17</f>
        <v>Wall 3 –faces South, Steel Frame</v>
      </c>
      <c r="C114" s="103" t="s">
        <v>118</v>
      </c>
      <c r="D114" s="103">
        <v>0.157</v>
      </c>
      <c r="E114" s="110" t="s">
        <v>63</v>
      </c>
      <c r="F114" s="105" t="s">
        <v>63</v>
      </c>
      <c r="H114" s="9">
        <f t="shared" si="5"/>
        <v>0</v>
      </c>
    </row>
    <row r="115" spans="2:8" ht="17.25" customHeight="1" thickBot="1" x14ac:dyDescent="0.4">
      <c r="B115" s="247" t="str">
        <f>D_M02!B18</f>
        <v xml:space="preserve">        Window 3 – Vinyl Frame Impact Resistance Glass</v>
      </c>
      <c r="C115" s="110"/>
      <c r="D115" s="217">
        <f>D_M02!E18</f>
        <v>0.75</v>
      </c>
      <c r="E115" s="110" t="s">
        <v>63</v>
      </c>
      <c r="F115" s="105" t="s">
        <v>63</v>
      </c>
      <c r="H115" s="9">
        <f t="shared" si="5"/>
        <v>0</v>
      </c>
    </row>
    <row r="116" spans="2:8" ht="17.25" customHeight="1" thickBot="1" x14ac:dyDescent="0.4">
      <c r="B116" s="247" t="str">
        <f>D_M02!B19</f>
        <v xml:space="preserve">Wall 4 –faces South, Wood4 2x4 </v>
      </c>
      <c r="C116" s="103" t="s">
        <v>83</v>
      </c>
      <c r="D116" s="103">
        <v>8.5999999999999993E-2</v>
      </c>
      <c r="E116" s="110" t="s">
        <v>63</v>
      </c>
      <c r="F116" s="105" t="s">
        <v>63</v>
      </c>
      <c r="H116" s="9">
        <f t="shared" si="5"/>
        <v>0</v>
      </c>
    </row>
    <row r="117" spans="2:8" ht="17.25" customHeight="1" thickBot="1" x14ac:dyDescent="0.4">
      <c r="B117" s="247" t="str">
        <f>D_M02!B20</f>
        <v xml:space="preserve">        Window 4 – Vinyl Frame  Impact Resistance Glass</v>
      </c>
      <c r="C117" s="110"/>
      <c r="D117" s="217">
        <f>D_M02!E20</f>
        <v>0.75</v>
      </c>
      <c r="E117" s="110" t="s">
        <v>63</v>
      </c>
      <c r="F117" s="105" t="s">
        <v>63</v>
      </c>
      <c r="H117" s="9">
        <f t="shared" si="5"/>
        <v>0</v>
      </c>
    </row>
    <row r="118" spans="2:8" ht="17.25" customHeight="1" thickBot="1" x14ac:dyDescent="0.4">
      <c r="B118" s="247" t="str">
        <f>D_M02!B21</f>
        <v>Wall 5 –faces West, Steel Frame</v>
      </c>
      <c r="C118" s="103" t="s">
        <v>118</v>
      </c>
      <c r="D118" s="103">
        <v>0.157</v>
      </c>
      <c r="E118" s="110" t="s">
        <v>63</v>
      </c>
      <c r="F118" s="105" t="s">
        <v>63</v>
      </c>
      <c r="H118" s="9">
        <f t="shared" si="5"/>
        <v>0</v>
      </c>
    </row>
    <row r="119" spans="2:8" ht="17.25" customHeight="1" thickBot="1" x14ac:dyDescent="0.4">
      <c r="B119" s="247" t="str">
        <f>D_M02!B22</f>
        <v xml:space="preserve">        Window 5 – Vinyl Frame Impact Resistance Glass</v>
      </c>
      <c r="C119" s="106"/>
      <c r="D119" s="216">
        <f>D_M02!E22</f>
        <v>0.75</v>
      </c>
      <c r="E119" s="110" t="s">
        <v>63</v>
      </c>
      <c r="F119" s="105" t="s">
        <v>63</v>
      </c>
      <c r="H119" s="9">
        <f t="shared" si="5"/>
        <v>0</v>
      </c>
    </row>
    <row r="120" spans="2:8" ht="15" thickBot="1" x14ac:dyDescent="0.4">
      <c r="B120" s="247" t="str">
        <f>D_M02!B23</f>
        <v>Infiltration</v>
      </c>
      <c r="C120" s="106"/>
      <c r="D120" s="106"/>
      <c r="E120" s="112" t="s">
        <v>93</v>
      </c>
      <c r="F120" s="105" t="str">
        <f>IF(E120="Complies","Pass",IF(E120="Not part of software","Software Doesn't Check","Fail"))</f>
        <v>Pass</v>
      </c>
      <c r="H120" s="9">
        <f t="shared" si="5"/>
        <v>0</v>
      </c>
    </row>
    <row r="121" spans="2:8" ht="15" thickBot="1" x14ac:dyDescent="0.4">
      <c r="B121" s="247" t="str">
        <f>D_M02!B24</f>
        <v>Heating – heat pump</v>
      </c>
      <c r="C121" s="106"/>
      <c r="D121" s="106"/>
      <c r="E121" s="113" t="s">
        <v>93</v>
      </c>
      <c r="F121" s="105" t="str">
        <f>IF(E121="Complies","Pass",IF(E121="Not part of software","Software Doesn't Check","Fail"))</f>
        <v>Pass</v>
      </c>
      <c r="H121" s="9">
        <f t="shared" si="5"/>
        <v>0</v>
      </c>
    </row>
    <row r="122" spans="2:8" ht="15" thickBot="1" x14ac:dyDescent="0.4">
      <c r="B122" s="247" t="str">
        <f>D_M02!B25</f>
        <v>Cooling – heat pump</v>
      </c>
      <c r="C122" s="106"/>
      <c r="D122" s="106"/>
      <c r="E122" s="112" t="s">
        <v>93</v>
      </c>
      <c r="F122" s="105" t="str">
        <f>IF(E122="Complies","Pass",IF(E122="Not part of software","Software Doesn't Check","Fail"))</f>
        <v>Pass</v>
      </c>
      <c r="H122" s="9">
        <f t="shared" si="5"/>
        <v>0</v>
      </c>
    </row>
    <row r="123" spans="2:8" ht="15" thickBot="1" x14ac:dyDescent="0.4">
      <c r="B123" s="247" t="str">
        <f>D_M02!B26</f>
        <v>Ducts – supply in attic</v>
      </c>
      <c r="C123" s="106"/>
      <c r="D123" s="106"/>
      <c r="E123" s="112" t="s">
        <v>93</v>
      </c>
      <c r="F123" s="105" t="str">
        <f>IF(E123="Complies","Pass",IF(E123="Not part of software","Software Doesn't Check","Fail"))</f>
        <v>Pass</v>
      </c>
      <c r="H123" s="9">
        <f t="shared" si="5"/>
        <v>0</v>
      </c>
    </row>
    <row r="124" spans="2:8" ht="15" thickBot="1" x14ac:dyDescent="0.4">
      <c r="B124" s="247" t="str">
        <f>D_M02!B27</f>
        <v>Ducts – return in conditioned space</v>
      </c>
      <c r="C124" s="106"/>
      <c r="D124" s="106"/>
      <c r="E124" s="112" t="s">
        <v>93</v>
      </c>
      <c r="F124" s="105" t="str">
        <f t="shared" ref="F124:F132" si="6">IF(E124="Complies","Pass",IF(E124="Not part of software","Software Doesn't Check","Fail"))</f>
        <v>Pass</v>
      </c>
      <c r="H124" s="9">
        <f t="shared" si="5"/>
        <v>0</v>
      </c>
    </row>
    <row r="125" spans="2:8" ht="15" thickBot="1" x14ac:dyDescent="0.4">
      <c r="B125" s="247" t="str">
        <f>D_M02!B28</f>
        <v>Duct Tightness</v>
      </c>
      <c r="C125" s="106"/>
      <c r="D125" s="106"/>
      <c r="E125" s="112" t="s">
        <v>93</v>
      </c>
      <c r="F125" s="105" t="str">
        <f t="shared" si="6"/>
        <v>Pass</v>
      </c>
      <c r="H125" s="9">
        <f t="shared" si="5"/>
        <v>0</v>
      </c>
    </row>
    <row r="126" spans="2:8" ht="15" thickBot="1" x14ac:dyDescent="0.4">
      <c r="B126" s="247" t="str">
        <f>D_M02!B29</f>
        <v>Air Handler – in conditioned space</v>
      </c>
      <c r="C126" s="106"/>
      <c r="D126" s="106"/>
      <c r="E126" s="112" t="s">
        <v>93</v>
      </c>
      <c r="F126" s="105" t="str">
        <f t="shared" si="6"/>
        <v>Pass</v>
      </c>
      <c r="H126" s="9">
        <f t="shared" si="5"/>
        <v>0</v>
      </c>
    </row>
    <row r="127" spans="2:8" ht="15" thickBot="1" x14ac:dyDescent="0.4">
      <c r="B127" s="247" t="str">
        <f>D_M02!B30</f>
        <v>Mechanical Ventilation</v>
      </c>
      <c r="C127" s="106"/>
      <c r="D127" s="106"/>
      <c r="E127" s="103" t="s">
        <v>93</v>
      </c>
      <c r="F127" s="105" t="str">
        <f t="shared" si="6"/>
        <v>Pass</v>
      </c>
      <c r="H127" s="9">
        <f t="shared" si="5"/>
        <v>0</v>
      </c>
    </row>
    <row r="128" spans="2:8" ht="15" thickBot="1" x14ac:dyDescent="0.4">
      <c r="B128" s="247" t="str">
        <f>D_M02!B31</f>
        <v>Hot Water System - electric</v>
      </c>
      <c r="C128" s="106"/>
      <c r="D128" s="106"/>
      <c r="E128" s="112" t="s">
        <v>93</v>
      </c>
      <c r="F128" s="105" t="str">
        <f t="shared" si="6"/>
        <v>Pass</v>
      </c>
      <c r="H128" s="9">
        <f t="shared" si="5"/>
        <v>0</v>
      </c>
    </row>
    <row r="129" spans="1:8" ht="15" thickBot="1" x14ac:dyDescent="0.4">
      <c r="B129" s="247" t="str">
        <f>D_M02!B32</f>
        <v>All Hot Water Lines</v>
      </c>
      <c r="C129" s="106"/>
      <c r="D129" s="106"/>
      <c r="E129" s="112" t="s">
        <v>56</v>
      </c>
      <c r="F129" s="105" t="str">
        <f t="shared" si="6"/>
        <v>Software Doesn't Check</v>
      </c>
      <c r="H129" s="9">
        <f t="shared" si="5"/>
        <v>0</v>
      </c>
    </row>
    <row r="130" spans="1:8" ht="15" thickBot="1" x14ac:dyDescent="0.4">
      <c r="B130" s="247" t="str">
        <f>D_M02!B33</f>
        <v>Hot Water Circulation -none</v>
      </c>
      <c r="C130" s="106"/>
      <c r="D130" s="106"/>
      <c r="E130" s="112" t="s">
        <v>56</v>
      </c>
      <c r="F130" s="105" t="str">
        <f t="shared" si="6"/>
        <v>Software Doesn't Check</v>
      </c>
      <c r="H130" s="9">
        <f t="shared" si="5"/>
        <v>0</v>
      </c>
    </row>
    <row r="131" spans="1:8" ht="15" thickBot="1" x14ac:dyDescent="0.4">
      <c r="B131" s="247" t="str">
        <f>D_M02!B34</f>
        <v>Lighting</v>
      </c>
      <c r="C131" s="106"/>
      <c r="D131" s="106"/>
      <c r="E131" s="112" t="s">
        <v>93</v>
      </c>
      <c r="F131" s="105" t="str">
        <f t="shared" si="6"/>
        <v>Pass</v>
      </c>
      <c r="H131" s="9">
        <f t="shared" si="5"/>
        <v>0</v>
      </c>
    </row>
    <row r="132" spans="1:8" ht="15" thickBot="1" x14ac:dyDescent="0.4">
      <c r="B132" s="247" t="str">
        <f>D_M02!B35</f>
        <v>Pool and Spa - none</v>
      </c>
      <c r="C132" s="106"/>
      <c r="D132" s="106"/>
      <c r="E132" s="112" t="s">
        <v>56</v>
      </c>
      <c r="F132" s="105" t="str">
        <f t="shared" si="6"/>
        <v>Software Doesn't Check</v>
      </c>
      <c r="H132" s="9">
        <f t="shared" si="5"/>
        <v>0</v>
      </c>
    </row>
    <row r="133" spans="1:8" ht="15" thickBot="1" x14ac:dyDescent="0.4">
      <c r="B133" s="248" t="str">
        <f>D_M02!B38</f>
        <v>Area Weighted Fenestration U-Factor Value</v>
      </c>
      <c r="C133" s="106"/>
      <c r="D133" s="106"/>
      <c r="E133" s="110"/>
      <c r="F133" s="105" t="s">
        <v>63</v>
      </c>
      <c r="H133" s="9">
        <f t="shared" si="5"/>
        <v>0</v>
      </c>
    </row>
    <row r="134" spans="1:8" ht="15" thickBot="1" x14ac:dyDescent="0.4">
      <c r="B134" s="248" t="str">
        <f>D_M02!B39</f>
        <v>Area Weighted Fenestration SHGC Value</v>
      </c>
      <c r="C134" s="106"/>
      <c r="D134" s="106"/>
      <c r="E134" s="103">
        <v>0.25</v>
      </c>
      <c r="F134" s="105" t="str">
        <f>IF(E134&gt;UA_M02!S27,IF(E134&lt;=UA_M02!S28,"Pass","Fail"),"Fail")</f>
        <v>Pass</v>
      </c>
      <c r="H134" s="9">
        <f t="shared" si="5"/>
        <v>0</v>
      </c>
    </row>
    <row r="135" spans="1:8" ht="15" thickBot="1" x14ac:dyDescent="0.4">
      <c r="B135" s="248" t="str">
        <f>D_M02!B40</f>
        <v>Total Thermal Envelope UA Value</v>
      </c>
      <c r="C135" s="106"/>
      <c r="D135" s="106"/>
      <c r="E135" s="103">
        <v>644.20000000000005</v>
      </c>
      <c r="F135" s="470" t="str">
        <f>IF(E135&gt;=UA_M02!H27,IF(E135&lt;=UA_M02!H28,"Pass","Fail"),"Fail")</f>
        <v>Pass</v>
      </c>
      <c r="H135" s="9">
        <f t="shared" si="5"/>
        <v>0</v>
      </c>
    </row>
    <row r="136" spans="1:8" ht="15" thickBot="1" x14ac:dyDescent="0.4">
      <c r="B136" s="248" t="str">
        <f>D_M02!B41</f>
        <v>Area Weighted Fenestration U-Factor Result</v>
      </c>
      <c r="C136" s="106"/>
      <c r="D136" s="106"/>
      <c r="E136" s="110"/>
      <c r="F136" s="105" t="s">
        <v>63</v>
      </c>
      <c r="H136" s="9">
        <f t="shared" si="5"/>
        <v>0</v>
      </c>
    </row>
    <row r="137" spans="1:8" ht="15" thickBot="1" x14ac:dyDescent="0.4">
      <c r="B137" s="248" t="str">
        <f>D_M02!B42</f>
        <v>Area Weighted Fenestration SHGC Result</v>
      </c>
      <c r="C137" s="106"/>
      <c r="D137" s="106"/>
      <c r="E137" s="103" t="s">
        <v>93</v>
      </c>
      <c r="F137" s="105" t="str">
        <f>IF(E137="Complies","Pass","Fail")</f>
        <v>Pass</v>
      </c>
      <c r="H137" s="9">
        <f t="shared" si="5"/>
        <v>0</v>
      </c>
    </row>
    <row r="138" spans="1:8" ht="18" customHeight="1" thickBot="1" x14ac:dyDescent="0.4">
      <c r="B138" s="248" t="str">
        <f>D_M02!B43</f>
        <v>Baseline Thermal Envelope UA Value</v>
      </c>
      <c r="C138" s="106"/>
      <c r="D138" s="106"/>
      <c r="E138" s="103">
        <v>486</v>
      </c>
      <c r="F138" s="105" t="str">
        <f>IF(E138&gt;=UA_M02!J27,IF(E138&lt;=UA_M02!J28,"Pass","Fail"),"Fail")</f>
        <v>Pass</v>
      </c>
      <c r="H138" s="9">
        <f t="shared" si="5"/>
        <v>0</v>
      </c>
    </row>
    <row r="139" spans="1:8" ht="15" thickBot="1" x14ac:dyDescent="0.4">
      <c r="B139" s="248" t="str">
        <f>D_M02!B44</f>
        <v>Total Thermal Envelope UA Result</v>
      </c>
      <c r="C139" s="106"/>
      <c r="D139" s="106"/>
      <c r="E139" s="103" t="s">
        <v>67</v>
      </c>
      <c r="F139" s="105" t="str">
        <f>IF(E139="Total UA too high","Pass","Fail")</f>
        <v>Pass</v>
      </c>
      <c r="H139" s="9">
        <f t="shared" si="5"/>
        <v>0</v>
      </c>
    </row>
    <row r="140" spans="1:8" ht="15" thickBot="1" x14ac:dyDescent="0.4">
      <c r="B140" s="248" t="str">
        <f>D_M02!B45</f>
        <v>House Complies?</v>
      </c>
      <c r="C140" s="106"/>
      <c r="D140" s="106"/>
      <c r="E140" s="103" t="s">
        <v>120</v>
      </c>
      <c r="F140" s="105" t="str">
        <f>IF(E140="No","Pass","Fail")</f>
        <v>Pass</v>
      </c>
      <c r="H140" s="9">
        <f t="shared" si="5"/>
        <v>0</v>
      </c>
    </row>
    <row r="141" spans="1:8" ht="21.65" customHeight="1" x14ac:dyDescent="0.6">
      <c r="E141" s="15" t="s">
        <v>85</v>
      </c>
      <c r="F141" s="16" t="str">
        <f>IF(H141&gt;0,"FAIL","PASS")</f>
        <v>PASS</v>
      </c>
      <c r="H141" s="256">
        <f xml:space="preserve"> SUM(H105:H140)</f>
        <v>0</v>
      </c>
    </row>
    <row r="142" spans="1:8" ht="8.5" customHeight="1" x14ac:dyDescent="0.35">
      <c r="A142" s="14"/>
      <c r="B142" s="14"/>
      <c r="C142" s="14"/>
      <c r="D142" s="14"/>
      <c r="E142" s="14"/>
      <c r="F142" s="14"/>
      <c r="G142" s="14"/>
    </row>
  </sheetData>
  <sheetProtection algorithmName="SHA-512" hashValue="1cWnmfeRXSupMwL0LY+m07sy8aL0XIkWa2lfp6VbFgdxwZsDpBGGkJMl4pFYRFUsUQDOntUuXpAZ9sNXaWDLqg==" saltValue="uJNAkw7u02FcgStzieVSfg==" spinCount="100000" sheet="1" objects="1" scenarios="1"/>
  <mergeCells count="3">
    <mergeCell ref="D3:E3"/>
    <mergeCell ref="D52:E52"/>
    <mergeCell ref="D99:E99"/>
  </mergeCells>
  <dataValidations count="27">
    <dataValidation type="list" allowBlank="1" showInputMessage="1" showErrorMessage="1" sqref="C11 E58">
      <formula1>Floor</formula1>
    </dataValidation>
    <dataValidation type="list" allowBlank="1" showInputMessage="1" showErrorMessage="1" sqref="C12 E59">
      <formula1>Roof</formula1>
    </dataValidation>
    <dataValidation type="list" allowBlank="1" showInputMessage="1" showErrorMessage="1" sqref="C13 E60">
      <formula1>Ceiling</formula1>
    </dataValidation>
    <dataValidation type="list" allowBlank="1" showInputMessage="1" showErrorMessage="1" sqref="C14 C61 E61 C108 E108">
      <formula1>Skylight</formula1>
    </dataValidation>
    <dataValidation type="list" allowBlank="1" showInputMessage="1" showErrorMessage="1" sqref="C16 C110 E63">
      <formula1>Door</formula1>
    </dataValidation>
    <dataValidation type="list" allowBlank="1" showInputMessage="1" showErrorMessage="1" sqref="C17 C19 C21 C23 C25 E68 E64 C113 E66 E119 E113 E110:E111 E115 E117 E70 C115 E72 C117 C119 C111">
      <formula1>Window</formula1>
    </dataValidation>
    <dataValidation type="list" allowBlank="1" showInputMessage="1" showErrorMessage="1" sqref="C26 E73 E120">
      <formula1>Infiltration</formula1>
    </dataValidation>
    <dataValidation type="list" allowBlank="1" showInputMessage="1" showErrorMessage="1" sqref="C27 E74 E121">
      <formula1>Heating</formula1>
    </dataValidation>
    <dataValidation type="list" allowBlank="1" showInputMessage="1" showErrorMessage="1" sqref="C28 E75 E122">
      <formula1>Cooling</formula1>
    </dataValidation>
    <dataValidation type="list" allowBlank="1" showInputMessage="1" showErrorMessage="1" sqref="C29 E76 E123">
      <formula1>SupplyDucts</formula1>
    </dataValidation>
    <dataValidation type="list" allowBlank="1" showInputMessage="1" showErrorMessage="1" sqref="C30 E77 E124">
      <formula1>ReturnDucts</formula1>
    </dataValidation>
    <dataValidation type="list" allowBlank="1" showInputMessage="1" showErrorMessage="1" sqref="C31 E78 E125">
      <formula1>DuctTightness</formula1>
    </dataValidation>
    <dataValidation type="list" allowBlank="1" showInputMessage="1" showErrorMessage="1" sqref="C32 E79 E126">
      <formula1>AirHandler</formula1>
    </dataValidation>
    <dataValidation type="list" allowBlank="1" showInputMessage="1" showErrorMessage="1" sqref="C34 E81 E128">
      <formula1>HotWaterSystem</formula1>
    </dataValidation>
    <dataValidation type="list" allowBlank="1" showInputMessage="1" showErrorMessage="1" sqref="C35 E82 E129">
      <formula1>HotWaterLines</formula1>
    </dataValidation>
    <dataValidation type="list" allowBlank="1" showInputMessage="1" showErrorMessage="1" sqref="C36 E83 E130">
      <formula1>HotWaterCirculation</formula1>
    </dataValidation>
    <dataValidation type="list" allowBlank="1" showInputMessage="1" showErrorMessage="1" sqref="C37 E84 E131">
      <formula1>Lighting</formula1>
    </dataValidation>
    <dataValidation type="list" allowBlank="1" showInputMessage="1" showErrorMessage="1" sqref="C38 E85 E132">
      <formula1>PoolandSpa</formula1>
    </dataValidation>
    <dataValidation type="decimal" allowBlank="1" showInputMessage="1" showErrorMessage="1" sqref="C39 D72 D61 D110:D111 D63:D64 D66 D68 D113 D115 D117 D108 D70 D119">
      <formula1>0</formula1>
      <formula2>2</formula2>
    </dataValidation>
    <dataValidation type="decimal" allowBlank="1" showInputMessage="1" showErrorMessage="1" sqref="D107 D65 D60 D62 C40 D109 D112 D118 D116 D114 D71 D69 D67">
      <formula1>0</formula1>
      <formula2>1</formula2>
    </dataValidation>
    <dataValidation type="list" allowBlank="1" showInputMessage="1" showErrorMessage="1" sqref="C42 E89">
      <formula1>OverallFenU</formula1>
    </dataValidation>
    <dataValidation type="list" allowBlank="1" showInputMessage="1" showErrorMessage="1" sqref="C43 E90 E137">
      <formula1>OverallFenSHGC</formula1>
    </dataValidation>
    <dataValidation type="list" allowBlank="1" showInputMessage="1" showErrorMessage="1" sqref="C41 C44:C45 E139">
      <formula1>TotalUA</formula1>
    </dataValidation>
    <dataValidation type="decimal" allowBlank="1" showInputMessage="1" showErrorMessage="1" sqref="D135 D138">
      <formula1>0</formula1>
      <formula2>1000</formula2>
    </dataValidation>
    <dataValidation type="list" allowBlank="1" showInputMessage="1" showErrorMessage="1" sqref="C60 C107 C109 C112 C114 C116 C118 C62 C65 C67 C69 C71">
      <formula1>UCalcMethod</formula1>
    </dataValidation>
    <dataValidation type="list" allowBlank="1" showInputMessage="1" showErrorMessage="1" sqref="E93 C46 E140">
      <formula1>Complies</formula1>
    </dataValidation>
    <dataValidation type="list" allowBlank="1" showInputMessage="1" showErrorMessage="1" sqref="E127 E80 C33">
      <formula1>MechanicalVent</formula1>
    </dataValidation>
  </dataValidations>
  <pageMargins left="0.7" right="0.7" top="0.75" bottom="0.75" header="0.3" footer="0.3"/>
  <pageSetup scale="66" orientation="portrait" r:id="rId1"/>
  <rowBreaks count="2" manualBreakCount="2">
    <brk id="48" max="5" man="1"/>
    <brk id="95" max="5"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Selections!F5:F8</xm:f>
          </x14:formula1>
          <xm:sqref>E67 C18 C20 C22 E69 E71 E62 E65 C24</xm:sqref>
        </x14:dataValidation>
        <x14:dataValidation type="list" allowBlank="1" showInputMessage="1" showErrorMessage="1">
          <x14:formula1>
            <xm:f>Selections!F5:F8</xm:f>
          </x14:formula1>
          <xm:sqref>C15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2:T161"/>
  <sheetViews>
    <sheetView zoomScaleNormal="100" zoomScaleSheetLayoutView="27" workbookViewId="0">
      <selection activeCell="B1" sqref="B1"/>
    </sheetView>
  </sheetViews>
  <sheetFormatPr defaultColWidth="9.1796875" defaultRowHeight="14.5" x14ac:dyDescent="0.35"/>
  <cols>
    <col min="1" max="1" width="4.54296875" style="33" customWidth="1"/>
    <col min="2" max="2" width="8.26953125" style="33" customWidth="1"/>
    <col min="3" max="3" width="49.81640625" style="33" customWidth="1"/>
    <col min="4" max="4" width="15.7265625" style="33" customWidth="1"/>
    <col min="5" max="5" width="17.81640625" style="33" customWidth="1"/>
    <col min="6" max="6" width="13.26953125" style="33" customWidth="1"/>
    <col min="7" max="7" width="11.54296875" style="33" customWidth="1"/>
    <col min="8" max="8" width="11.26953125" style="33" customWidth="1"/>
    <col min="9" max="10" width="11.1796875" style="33" customWidth="1"/>
    <col min="11" max="12" width="12" style="33" customWidth="1"/>
    <col min="13" max="13" width="10.54296875" style="33" customWidth="1"/>
    <col min="14" max="14" width="12" style="33" customWidth="1"/>
    <col min="15" max="15" width="10.1796875" style="33" customWidth="1"/>
    <col min="16" max="20" width="12" style="33" customWidth="1"/>
    <col min="21" max="16384" width="9.1796875" style="33"/>
  </cols>
  <sheetData>
    <row r="2" spans="2:20" x14ac:dyDescent="0.35">
      <c r="B2" s="450" t="str">
        <f>D_M02!B2</f>
        <v xml:space="preserve">Prescriptive Test: House M02 (Pr-M02) Characteristics – Location: Miami, Florida. </v>
      </c>
      <c r="C2" s="450"/>
      <c r="D2" s="450"/>
      <c r="E2" s="450"/>
    </row>
    <row r="3" spans="2:20" x14ac:dyDescent="0.35">
      <c r="B3" s="450" t="str">
        <f>D_M02!B3</f>
        <v>Single Family Detached Home with No Attached Garage, Single Story, Three bedroom.</v>
      </c>
      <c r="C3" s="450"/>
      <c r="D3" s="450"/>
      <c r="E3" s="450"/>
    </row>
    <row r="4" spans="2:20" x14ac:dyDescent="0.35">
      <c r="E4" s="34"/>
    </row>
    <row r="5" spans="2:20" ht="18.75" customHeight="1" x14ac:dyDescent="0.35">
      <c r="B5" s="32" t="s">
        <v>276</v>
      </c>
      <c r="C5" s="32"/>
      <c r="D5" s="32"/>
      <c r="E5" s="32"/>
      <c r="F5" s="32"/>
      <c r="G5" s="32"/>
      <c r="H5" s="32"/>
      <c r="I5" s="32"/>
      <c r="J5" s="32"/>
      <c r="K5" s="513" t="str">
        <f>Selections!K18</f>
        <v>Fenestration Area</v>
      </c>
      <c r="L5" s="514"/>
      <c r="M5" s="515" t="str">
        <f>Selections!M18</f>
        <v>Rvalue Method</v>
      </c>
      <c r="N5" s="514"/>
      <c r="O5" s="515" t="str">
        <f>Selections!O18</f>
        <v>Uvalue Method</v>
      </c>
      <c r="P5" s="514"/>
      <c r="Q5" s="515" t="str">
        <f>Selections!Q18</f>
        <v>Rvalue Method</v>
      </c>
      <c r="R5" s="514"/>
      <c r="S5" s="515" t="str">
        <f>Selections!S18</f>
        <v>Uvalue Method</v>
      </c>
      <c r="T5" s="514"/>
    </row>
    <row r="6" spans="2:20" ht="48" customHeight="1" x14ac:dyDescent="0.35">
      <c r="B6" s="226"/>
      <c r="C6" s="227"/>
      <c r="D6" s="516" t="str">
        <f>Selections!D19</f>
        <v>Envelope Geometry (Area)</v>
      </c>
      <c r="E6" s="517"/>
      <c r="F6" s="518"/>
      <c r="G6" s="519" t="str">
        <f>Selections!G19</f>
        <v>Proposed Home</v>
      </c>
      <c r="H6" s="520"/>
      <c r="I6" s="519" t="str">
        <f>Selections!I19</f>
        <v>Reference Home</v>
      </c>
      <c r="J6" s="520"/>
      <c r="K6" s="511" t="str">
        <f>Selections!K19</f>
        <v>Compliance Method Fenestration Area</v>
      </c>
      <c r="L6" s="512"/>
      <c r="M6" s="511" t="str">
        <f>Selections!M19</f>
        <v>Window Area Weighted Avg Proposed U-Factor</v>
      </c>
      <c r="N6" s="512"/>
      <c r="O6" s="511" t="str">
        <f>Selections!O19</f>
        <v>Window Area Weighted Avg Proposed U-Factor</v>
      </c>
      <c r="P6" s="512"/>
      <c r="Q6" s="511" t="str">
        <f>Selections!Q19</f>
        <v>Window Area Weighted Avg Proposed SHGC</v>
      </c>
      <c r="R6" s="512"/>
      <c r="S6" s="511" t="str">
        <f>Selections!S19</f>
        <v>Window Area Weighted Avg Proposed SHGC</v>
      </c>
      <c r="T6" s="512"/>
    </row>
    <row r="7" spans="2:20" ht="39.75" customHeight="1" thickBot="1" x14ac:dyDescent="0.4">
      <c r="B7" s="231"/>
      <c r="C7" s="232" t="str">
        <f>Selections!C20</f>
        <v>Envelope Name</v>
      </c>
      <c r="D7" s="233" t="str">
        <f>Selections!D20</f>
        <v>Envelope Type</v>
      </c>
      <c r="E7" s="233" t="str">
        <f>Selections!E20</f>
        <v>Gross Area</v>
      </c>
      <c r="F7" s="233" t="str">
        <f>Selections!F20</f>
        <v>Net Area</v>
      </c>
      <c r="G7" s="234" t="str">
        <f>Selections!G20</f>
        <v>U-Factor Proposed</v>
      </c>
      <c r="H7" s="235" t="str">
        <f>Selections!H20</f>
        <v>UA-Value Proposed</v>
      </c>
      <c r="I7" s="233" t="str">
        <f>Selections!I20</f>
        <v>U-Factor Reference</v>
      </c>
      <c r="J7" s="235" t="str">
        <f>Selections!J20</f>
        <v>UA-Value Reference</v>
      </c>
      <c r="K7" s="236" t="str">
        <f>Selections!K20</f>
        <v>R-Value Method</v>
      </c>
      <c r="L7" s="236" t="str">
        <f>Selections!L20</f>
        <v>U-Factor Method</v>
      </c>
      <c r="M7" s="236" t="str">
        <f>Selections!M20</f>
        <v>U-Factor</v>
      </c>
      <c r="N7" s="236" t="str">
        <f>Selections!N20</f>
        <v>UA-Value</v>
      </c>
      <c r="O7" s="236" t="str">
        <f>Selections!O20</f>
        <v>U-Factor</v>
      </c>
      <c r="P7" s="236" t="str">
        <f>Selections!P20</f>
        <v>UA-Value</v>
      </c>
      <c r="Q7" s="236" t="str">
        <f>Selections!Q20</f>
        <v>SHGC</v>
      </c>
      <c r="R7" s="236" t="str">
        <f>Selections!R20</f>
        <v>SHGC x Area</v>
      </c>
      <c r="S7" s="236" t="str">
        <f>Selections!S20</f>
        <v>SHGC</v>
      </c>
      <c r="T7" s="236" t="str">
        <f>Selections!T20</f>
        <v>SHGC x Area</v>
      </c>
    </row>
    <row r="8" spans="2:20" ht="15" customHeight="1" thickTop="1" x14ac:dyDescent="0.35">
      <c r="B8" s="37">
        <v>1</v>
      </c>
      <c r="C8" s="223" t="str">
        <f>D_M02!B8</f>
        <v>Raised Floor1</v>
      </c>
      <c r="D8" s="38" t="s">
        <v>30</v>
      </c>
      <c r="E8" s="387">
        <f>D_M02!G8</f>
        <v>2000</v>
      </c>
      <c r="F8" s="388">
        <f>E8</f>
        <v>2000</v>
      </c>
      <c r="G8" s="389">
        <f>D55</f>
        <v>4.8792043927395626E-2</v>
      </c>
      <c r="H8" s="390">
        <f t="shared" ref="H8:H22" si="0">$G8*$F8</f>
        <v>97.58408785479125</v>
      </c>
      <c r="I8" s="391">
        <f>D33</f>
        <v>6.4000000000000001E-2</v>
      </c>
      <c r="J8" s="392">
        <f>$I8*$F8</f>
        <v>128</v>
      </c>
      <c r="K8" s="38"/>
      <c r="L8" s="40"/>
      <c r="M8" s="39"/>
      <c r="N8" s="40"/>
      <c r="O8" s="43"/>
      <c r="P8" s="40"/>
      <c r="Q8" s="43"/>
      <c r="R8" s="40"/>
      <c r="S8" s="43"/>
      <c r="T8" s="40"/>
    </row>
    <row r="9" spans="2:20" ht="15" customHeight="1" x14ac:dyDescent="0.35">
      <c r="B9" s="44">
        <v>2</v>
      </c>
      <c r="C9" s="224" t="str">
        <f>D_M02!B9</f>
        <v>Roof – gable type- 5 in 12 slope No overhangs</v>
      </c>
      <c r="D9" s="46" t="s">
        <v>33</v>
      </c>
      <c r="E9" s="47"/>
      <c r="F9" s="48"/>
      <c r="G9" s="46"/>
      <c r="H9" s="48"/>
      <c r="I9" s="47"/>
      <c r="J9" s="47"/>
      <c r="K9" s="46"/>
      <c r="L9" s="48"/>
      <c r="M9" s="47"/>
      <c r="N9" s="48"/>
      <c r="O9" s="44"/>
      <c r="P9" s="48"/>
      <c r="Q9" s="44"/>
      <c r="R9" s="48"/>
      <c r="S9" s="44"/>
      <c r="T9" s="48"/>
    </row>
    <row r="10" spans="2:20" ht="15" customHeight="1" x14ac:dyDescent="0.35">
      <c r="B10" s="44">
        <v>3</v>
      </c>
      <c r="C10" s="224" t="str">
        <f>D_M02!B10</f>
        <v>Ceiling2 –flat under attic</v>
      </c>
      <c r="D10" s="46" t="s">
        <v>34</v>
      </c>
      <c r="E10" s="133">
        <f>D_M02!G10</f>
        <v>2000</v>
      </c>
      <c r="F10" s="205">
        <f>E10-E11</f>
        <v>1990</v>
      </c>
      <c r="G10" s="206">
        <f>D72</f>
        <v>3.4532095288602439E-2</v>
      </c>
      <c r="H10" s="202">
        <f t="shared" si="0"/>
        <v>68.718869624318856</v>
      </c>
      <c r="I10" s="136">
        <f>D35</f>
        <v>3.5000000000000003E-2</v>
      </c>
      <c r="J10" s="124">
        <f t="shared" ref="J10:J22" si="1">$I10*$F10</f>
        <v>69.650000000000006</v>
      </c>
      <c r="K10" s="50"/>
      <c r="L10" s="49"/>
      <c r="M10" s="47"/>
      <c r="N10" s="48"/>
      <c r="O10" s="44"/>
      <c r="P10" s="48"/>
      <c r="Q10" s="44"/>
      <c r="R10" s="48"/>
      <c r="S10" s="44"/>
      <c r="T10" s="48"/>
    </row>
    <row r="11" spans="2:20" ht="15" customHeight="1" x14ac:dyDescent="0.35">
      <c r="B11" s="44">
        <v>4</v>
      </c>
      <c r="C11" s="224" t="str">
        <f>D_M02!B11</f>
        <v xml:space="preserve">        Skylight</v>
      </c>
      <c r="D11" s="46" t="s">
        <v>35</v>
      </c>
      <c r="E11" s="133">
        <f>D_M02!G11</f>
        <v>10</v>
      </c>
      <c r="F11" s="205">
        <f>E11</f>
        <v>10</v>
      </c>
      <c r="G11" s="206">
        <f>D_M02!E11</f>
        <v>0.75</v>
      </c>
      <c r="H11" s="202">
        <f t="shared" si="0"/>
        <v>7.5</v>
      </c>
      <c r="I11" s="136">
        <f>D38</f>
        <v>0.75</v>
      </c>
      <c r="J11" s="124">
        <f t="shared" si="1"/>
        <v>7.5</v>
      </c>
      <c r="K11" s="201">
        <f>E11</f>
        <v>10</v>
      </c>
      <c r="L11" s="202">
        <f>E11</f>
        <v>10</v>
      </c>
      <c r="M11" s="136">
        <f>$G11</f>
        <v>0.75</v>
      </c>
      <c r="N11" s="202">
        <f>K11*M11</f>
        <v>7.5</v>
      </c>
      <c r="O11" s="134">
        <f>$G11</f>
        <v>0.75</v>
      </c>
      <c r="P11" s="202">
        <f>O11*L11</f>
        <v>7.5</v>
      </c>
      <c r="Q11" s="134">
        <f>D_M02!F11</f>
        <v>0.25</v>
      </c>
      <c r="R11" s="202">
        <f>K11*Q11</f>
        <v>2.5</v>
      </c>
      <c r="S11" s="134">
        <f>$Q11</f>
        <v>0.25</v>
      </c>
      <c r="T11" s="202">
        <f>S11*L11</f>
        <v>2.5</v>
      </c>
    </row>
    <row r="12" spans="2:20" ht="15" customHeight="1" x14ac:dyDescent="0.35">
      <c r="B12" s="44">
        <v>5</v>
      </c>
      <c r="C12" s="224" t="str">
        <f>D_M02!B12</f>
        <v>Wall 1 –faces North, Steel Frame3</v>
      </c>
      <c r="D12" s="46" t="s">
        <v>36</v>
      </c>
      <c r="E12" s="133">
        <f>D_M02!G12</f>
        <v>500</v>
      </c>
      <c r="F12" s="205">
        <f>E12-E13-E14</f>
        <v>401</v>
      </c>
      <c r="G12" s="206">
        <f>D161</f>
        <v>0.16305123494964477</v>
      </c>
      <c r="H12" s="202">
        <f t="shared" si="0"/>
        <v>65.383545214807555</v>
      </c>
      <c r="I12" s="136">
        <f>D36</f>
        <v>8.2000000000000003E-2</v>
      </c>
      <c r="J12" s="124">
        <f t="shared" si="1"/>
        <v>32.881999999999998</v>
      </c>
      <c r="K12" s="201"/>
      <c r="L12" s="202"/>
      <c r="M12" s="133"/>
      <c r="N12" s="203"/>
      <c r="O12" s="100"/>
      <c r="P12" s="203"/>
      <c r="Q12" s="100"/>
      <c r="R12" s="203"/>
      <c r="S12" s="134"/>
      <c r="T12" s="203"/>
    </row>
    <row r="13" spans="2:20" ht="15" customHeight="1" x14ac:dyDescent="0.35">
      <c r="B13" s="44">
        <v>6</v>
      </c>
      <c r="C13" s="224" t="str">
        <f>D_M02!B13</f>
        <v xml:space="preserve">        Door 1 - </v>
      </c>
      <c r="D13" s="46" t="s">
        <v>38</v>
      </c>
      <c r="E13" s="133">
        <f>D_M02!G13</f>
        <v>24</v>
      </c>
      <c r="F13" s="205">
        <f>E13</f>
        <v>24</v>
      </c>
      <c r="G13" s="206">
        <f>D_M02!E13</f>
        <v>0.65</v>
      </c>
      <c r="H13" s="202">
        <f t="shared" si="0"/>
        <v>15.600000000000001</v>
      </c>
      <c r="I13" s="136">
        <f>D39</f>
        <v>0.5</v>
      </c>
      <c r="J13" s="124">
        <f t="shared" si="1"/>
        <v>12</v>
      </c>
      <c r="K13" s="201">
        <f>IF(E13&lt;=Selections!$C$32,0,E13)</f>
        <v>0</v>
      </c>
      <c r="L13" s="202">
        <f>E13</f>
        <v>24</v>
      </c>
      <c r="M13" s="133">
        <v>0</v>
      </c>
      <c r="N13" s="202">
        <f>K13*M13</f>
        <v>0</v>
      </c>
      <c r="O13" s="134">
        <f>$G13</f>
        <v>0.65</v>
      </c>
      <c r="P13" s="202">
        <f>O13*L13</f>
        <v>15.600000000000001</v>
      </c>
      <c r="Q13" s="100">
        <f>D_M02!F13</f>
        <v>0</v>
      </c>
      <c r="R13" s="202">
        <f>K13*Q13</f>
        <v>0</v>
      </c>
      <c r="S13" s="138">
        <f t="shared" ref="S13:S22" si="2">$Q13</f>
        <v>0</v>
      </c>
      <c r="T13" s="202">
        <f>S13*L13</f>
        <v>0</v>
      </c>
    </row>
    <row r="14" spans="2:20" ht="15" customHeight="1" x14ac:dyDescent="0.35">
      <c r="B14" s="44">
        <v>7</v>
      </c>
      <c r="C14" s="224" t="str">
        <f>D_M02!B14</f>
        <v xml:space="preserve">        Window 1 – Vinyl Frame Impact Resistance Glass</v>
      </c>
      <c r="D14" s="46" t="s">
        <v>37</v>
      </c>
      <c r="E14" s="133">
        <f>D_M02!G14</f>
        <v>75</v>
      </c>
      <c r="F14" s="205">
        <f>E14</f>
        <v>75</v>
      </c>
      <c r="G14" s="206">
        <f>D_M02!E14</f>
        <v>0.75</v>
      </c>
      <c r="H14" s="202">
        <f t="shared" si="0"/>
        <v>56.25</v>
      </c>
      <c r="I14" s="136">
        <f>D40</f>
        <v>0.5</v>
      </c>
      <c r="J14" s="124">
        <f t="shared" si="1"/>
        <v>37.5</v>
      </c>
      <c r="K14" s="201">
        <f>IF(E14&lt;=Selections!$C$33,0,E14)</f>
        <v>75</v>
      </c>
      <c r="L14" s="202">
        <f>E14</f>
        <v>75</v>
      </c>
      <c r="M14" s="136">
        <f>$G14</f>
        <v>0.75</v>
      </c>
      <c r="N14" s="202">
        <f>K14*M14</f>
        <v>56.25</v>
      </c>
      <c r="O14" s="134">
        <f>$G14</f>
        <v>0.75</v>
      </c>
      <c r="P14" s="202">
        <f>O14*L14</f>
        <v>56.25</v>
      </c>
      <c r="Q14" s="134">
        <f>D_M02!F14</f>
        <v>0.25</v>
      </c>
      <c r="R14" s="202">
        <f>K14*Q14</f>
        <v>18.75</v>
      </c>
      <c r="S14" s="134">
        <f t="shared" si="2"/>
        <v>0.25</v>
      </c>
      <c r="T14" s="202">
        <f>S14*L14</f>
        <v>18.75</v>
      </c>
    </row>
    <row r="15" spans="2:20" ht="15" customHeight="1" x14ac:dyDescent="0.35">
      <c r="B15" s="44">
        <v>8</v>
      </c>
      <c r="C15" s="224" t="str">
        <f>D_M02!B15</f>
        <v>Wall 2 –faces South, Steel Frame</v>
      </c>
      <c r="D15" s="51" t="s">
        <v>36</v>
      </c>
      <c r="E15" s="133">
        <f>D_M02!G15</f>
        <v>400</v>
      </c>
      <c r="F15" s="205">
        <f>E15-E16</f>
        <v>325</v>
      </c>
      <c r="G15" s="206">
        <f>D161</f>
        <v>0.16305123494964477</v>
      </c>
      <c r="H15" s="202">
        <f t="shared" si="0"/>
        <v>52.991651358634549</v>
      </c>
      <c r="I15" s="136">
        <f>D36</f>
        <v>8.2000000000000003E-2</v>
      </c>
      <c r="J15" s="124">
        <f t="shared" si="1"/>
        <v>26.650000000000002</v>
      </c>
      <c r="K15" s="201"/>
      <c r="L15" s="202"/>
      <c r="M15" s="133"/>
      <c r="N15" s="203"/>
      <c r="O15" s="100"/>
      <c r="P15" s="203"/>
      <c r="Q15" s="100"/>
      <c r="R15" s="203"/>
      <c r="S15" s="134"/>
      <c r="T15" s="203"/>
    </row>
    <row r="16" spans="2:20" ht="15" customHeight="1" x14ac:dyDescent="0.35">
      <c r="B16" s="44">
        <v>9</v>
      </c>
      <c r="C16" s="224" t="str">
        <f>D_M02!B16</f>
        <v xml:space="preserve">        Window 2 – Vinyl Frame Impact Resistance Glass</v>
      </c>
      <c r="D16" s="46" t="s">
        <v>37</v>
      </c>
      <c r="E16" s="133">
        <f>D_M02!G16</f>
        <v>75</v>
      </c>
      <c r="F16" s="205">
        <f>E16</f>
        <v>75</v>
      </c>
      <c r="G16" s="206">
        <f>D_M02!E16</f>
        <v>0.75</v>
      </c>
      <c r="H16" s="202">
        <f t="shared" si="0"/>
        <v>56.25</v>
      </c>
      <c r="I16" s="136">
        <f>D40</f>
        <v>0.5</v>
      </c>
      <c r="J16" s="124">
        <f t="shared" si="1"/>
        <v>37.5</v>
      </c>
      <c r="K16" s="201">
        <f>IF(E16&lt;=Selections!$C$33,0,E16)</f>
        <v>75</v>
      </c>
      <c r="L16" s="202">
        <f>E16</f>
        <v>75</v>
      </c>
      <c r="M16" s="136">
        <f>$G16</f>
        <v>0.75</v>
      </c>
      <c r="N16" s="202">
        <f>K16*M16</f>
        <v>56.25</v>
      </c>
      <c r="O16" s="134">
        <f>$G16</f>
        <v>0.75</v>
      </c>
      <c r="P16" s="202">
        <f>O16*L16</f>
        <v>56.25</v>
      </c>
      <c r="Q16" s="134">
        <f>D_M02!F16</f>
        <v>0.25</v>
      </c>
      <c r="R16" s="202">
        <f>K16*Q16</f>
        <v>18.75</v>
      </c>
      <c r="S16" s="134">
        <f t="shared" si="2"/>
        <v>0.25</v>
      </c>
      <c r="T16" s="202">
        <f>S16*L16</f>
        <v>18.75</v>
      </c>
    </row>
    <row r="17" spans="2:20" ht="15" customHeight="1" x14ac:dyDescent="0.35">
      <c r="B17" s="44">
        <v>10</v>
      </c>
      <c r="C17" s="224" t="str">
        <f>D_M02!B17</f>
        <v>Wall 3 –faces South, Steel Frame</v>
      </c>
      <c r="D17" s="46" t="s">
        <v>36</v>
      </c>
      <c r="E17" s="133">
        <f>D_M02!G17</f>
        <v>400</v>
      </c>
      <c r="F17" s="205">
        <f>E17-E18</f>
        <v>385</v>
      </c>
      <c r="G17" s="206">
        <f>D161</f>
        <v>0.16305123494964477</v>
      </c>
      <c r="H17" s="202">
        <f t="shared" si="0"/>
        <v>62.774725455613236</v>
      </c>
      <c r="I17" s="136">
        <f>D36</f>
        <v>8.2000000000000003E-2</v>
      </c>
      <c r="J17" s="124">
        <f t="shared" si="1"/>
        <v>31.57</v>
      </c>
      <c r="K17" s="201"/>
      <c r="L17" s="202"/>
      <c r="M17" s="133"/>
      <c r="N17" s="203"/>
      <c r="O17" s="100"/>
      <c r="P17" s="203"/>
      <c r="Q17" s="100"/>
      <c r="R17" s="203"/>
      <c r="S17" s="134"/>
      <c r="T17" s="203"/>
    </row>
    <row r="18" spans="2:20" ht="15" customHeight="1" x14ac:dyDescent="0.35">
      <c r="B18" s="44">
        <v>11</v>
      </c>
      <c r="C18" s="224" t="str">
        <f>D_M02!B18</f>
        <v xml:space="preserve">        Window 3 – Vinyl Frame Impact Resistance Glass</v>
      </c>
      <c r="D18" s="46" t="s">
        <v>37</v>
      </c>
      <c r="E18" s="133">
        <f>D_M02!G18</f>
        <v>15</v>
      </c>
      <c r="F18" s="205">
        <f>E18</f>
        <v>15</v>
      </c>
      <c r="G18" s="206">
        <f>D_M02!E18</f>
        <v>0.75</v>
      </c>
      <c r="H18" s="202">
        <f t="shared" si="0"/>
        <v>11.25</v>
      </c>
      <c r="I18" s="136">
        <f>D40</f>
        <v>0.5</v>
      </c>
      <c r="J18" s="124">
        <f t="shared" si="1"/>
        <v>7.5</v>
      </c>
      <c r="K18" s="201">
        <f>IF(E18&lt;=Selections!$C$33,0,E18)</f>
        <v>0</v>
      </c>
      <c r="L18" s="202">
        <f>E18</f>
        <v>15</v>
      </c>
      <c r="M18" s="136">
        <f>$G18</f>
        <v>0.75</v>
      </c>
      <c r="N18" s="202">
        <f>K18*M18</f>
        <v>0</v>
      </c>
      <c r="O18" s="134">
        <f>$G18</f>
        <v>0.75</v>
      </c>
      <c r="P18" s="202">
        <f>O18*L18</f>
        <v>11.25</v>
      </c>
      <c r="Q18" s="134">
        <f>D_M02!F18</f>
        <v>0.25</v>
      </c>
      <c r="R18" s="202">
        <f>K18*Q18</f>
        <v>0</v>
      </c>
      <c r="S18" s="134">
        <f t="shared" si="2"/>
        <v>0.25</v>
      </c>
      <c r="T18" s="202">
        <f>S18*L18</f>
        <v>3.75</v>
      </c>
    </row>
    <row r="19" spans="2:20" ht="15" customHeight="1" x14ac:dyDescent="0.35">
      <c r="B19" s="44">
        <v>12</v>
      </c>
      <c r="C19" s="224" t="str">
        <f>D_M02!B19</f>
        <v xml:space="preserve">Wall 4 –faces South, Wood4 2x4 </v>
      </c>
      <c r="D19" s="46" t="s">
        <v>36</v>
      </c>
      <c r="E19" s="133">
        <f>D_M02!G19</f>
        <v>100</v>
      </c>
      <c r="F19" s="205">
        <f>E19-E20</f>
        <v>40</v>
      </c>
      <c r="G19" s="206">
        <f>D88</f>
        <v>8.6865673938545357E-2</v>
      </c>
      <c r="H19" s="202">
        <f t="shared" si="0"/>
        <v>3.4746269575418145</v>
      </c>
      <c r="I19" s="136">
        <f>D37</f>
        <v>8.2000000000000003E-2</v>
      </c>
      <c r="J19" s="124">
        <f t="shared" si="1"/>
        <v>3.2800000000000002</v>
      </c>
      <c r="K19" s="201"/>
      <c r="L19" s="202"/>
      <c r="M19" s="133"/>
      <c r="N19" s="203"/>
      <c r="O19" s="100"/>
      <c r="P19" s="203"/>
      <c r="Q19" s="100"/>
      <c r="R19" s="203"/>
      <c r="S19" s="134"/>
      <c r="T19" s="203"/>
    </row>
    <row r="20" spans="2:20" ht="15" customHeight="1" x14ac:dyDescent="0.35">
      <c r="B20" s="44">
        <v>13</v>
      </c>
      <c r="C20" s="224" t="str">
        <f>D_M02!B20</f>
        <v xml:space="preserve">        Window 4 – Vinyl Frame  Impact Resistance Glass</v>
      </c>
      <c r="D20" s="46" t="s">
        <v>37</v>
      </c>
      <c r="E20" s="133">
        <f>D_M02!G20</f>
        <v>60</v>
      </c>
      <c r="F20" s="205">
        <f>E20</f>
        <v>60</v>
      </c>
      <c r="G20" s="206">
        <f>D_M02!E20</f>
        <v>0.75</v>
      </c>
      <c r="H20" s="202">
        <f t="shared" si="0"/>
        <v>45</v>
      </c>
      <c r="I20" s="136">
        <f>D40</f>
        <v>0.5</v>
      </c>
      <c r="J20" s="124">
        <f t="shared" si="1"/>
        <v>30</v>
      </c>
      <c r="K20" s="201">
        <f>IF(E20&lt;=Selections!$C$33,0,E20)</f>
        <v>60</v>
      </c>
      <c r="L20" s="202">
        <f>E20</f>
        <v>60</v>
      </c>
      <c r="M20" s="136">
        <f>$G20</f>
        <v>0.75</v>
      </c>
      <c r="N20" s="202">
        <f>K20*M20</f>
        <v>45</v>
      </c>
      <c r="O20" s="134">
        <f>$G20</f>
        <v>0.75</v>
      </c>
      <c r="P20" s="202">
        <f>O20*L20</f>
        <v>45</v>
      </c>
      <c r="Q20" s="134">
        <f>D_M02!F20</f>
        <v>0.25</v>
      </c>
      <c r="R20" s="202">
        <f>K20*Q20</f>
        <v>15</v>
      </c>
      <c r="S20" s="134">
        <f t="shared" si="2"/>
        <v>0.25</v>
      </c>
      <c r="T20" s="202">
        <f>S20*L20</f>
        <v>15</v>
      </c>
    </row>
    <row r="21" spans="2:20" ht="15" customHeight="1" x14ac:dyDescent="0.35">
      <c r="B21" s="44">
        <v>14</v>
      </c>
      <c r="C21" s="224" t="str">
        <f>D_M02!B21</f>
        <v>Wall 5 –faces West, Steel Frame</v>
      </c>
      <c r="D21" s="46" t="s">
        <v>36</v>
      </c>
      <c r="E21" s="133">
        <f>D_M02!G21</f>
        <v>400</v>
      </c>
      <c r="F21" s="205">
        <f>E21-E22</f>
        <v>325</v>
      </c>
      <c r="G21" s="206">
        <f>D161</f>
        <v>0.16305123494964477</v>
      </c>
      <c r="H21" s="202">
        <f t="shared" si="0"/>
        <v>52.991651358634549</v>
      </c>
      <c r="I21" s="136">
        <f>D36</f>
        <v>8.2000000000000003E-2</v>
      </c>
      <c r="J21" s="124">
        <f t="shared" si="1"/>
        <v>26.650000000000002</v>
      </c>
      <c r="K21" s="201"/>
      <c r="L21" s="202"/>
      <c r="M21" s="133"/>
      <c r="N21" s="203"/>
      <c r="O21" s="100"/>
      <c r="P21" s="203"/>
      <c r="Q21" s="100"/>
      <c r="R21" s="203"/>
      <c r="S21" s="134"/>
      <c r="T21" s="203"/>
    </row>
    <row r="22" spans="2:20" ht="15" customHeight="1" x14ac:dyDescent="0.35">
      <c r="B22" s="52">
        <v>15</v>
      </c>
      <c r="C22" s="225" t="str">
        <f>D_M02!B22</f>
        <v xml:space="preserve">        Window 5 – Vinyl Frame Impact Resistance Glass</v>
      </c>
      <c r="D22" s="53" t="s">
        <v>37</v>
      </c>
      <c r="E22" s="207">
        <f>D_M02!G22</f>
        <v>75</v>
      </c>
      <c r="F22" s="208">
        <f>E22</f>
        <v>75</v>
      </c>
      <c r="G22" s="209">
        <f>D_M02!E22</f>
        <v>0.75</v>
      </c>
      <c r="H22" s="204">
        <f t="shared" si="0"/>
        <v>56.25</v>
      </c>
      <c r="I22" s="125">
        <f>D40</f>
        <v>0.5</v>
      </c>
      <c r="J22" s="210">
        <f t="shared" si="1"/>
        <v>37.5</v>
      </c>
      <c r="K22" s="201">
        <f>IF(E22&lt;=Selections!$C$33,0,E22)</f>
        <v>75</v>
      </c>
      <c r="L22" s="204">
        <f>E22</f>
        <v>75</v>
      </c>
      <c r="M22" s="136">
        <f>$G22</f>
        <v>0.75</v>
      </c>
      <c r="N22" s="202">
        <f>K22*M22</f>
        <v>56.25</v>
      </c>
      <c r="O22" s="134">
        <f>$G22</f>
        <v>0.75</v>
      </c>
      <c r="P22" s="202">
        <f>O22*L22</f>
        <v>56.25</v>
      </c>
      <c r="Q22" s="134">
        <f>D_M02!F22</f>
        <v>0.25</v>
      </c>
      <c r="R22" s="202">
        <f>K22*Q22</f>
        <v>18.75</v>
      </c>
      <c r="S22" s="134">
        <f t="shared" si="2"/>
        <v>0.25</v>
      </c>
      <c r="T22" s="202">
        <f>S22*L22</f>
        <v>18.75</v>
      </c>
    </row>
    <row r="23" spans="2:20" ht="3.75" customHeight="1" x14ac:dyDescent="0.35">
      <c r="B23" s="35"/>
      <c r="C23" s="54"/>
      <c r="D23" s="55"/>
      <c r="E23" s="36"/>
      <c r="F23" s="56"/>
      <c r="G23" s="55"/>
      <c r="H23" s="56"/>
      <c r="I23" s="36"/>
      <c r="J23" s="36"/>
      <c r="K23" s="55"/>
      <c r="L23" s="56"/>
      <c r="M23" s="57"/>
      <c r="N23" s="58"/>
      <c r="O23" s="54"/>
      <c r="P23" s="58"/>
      <c r="Q23" s="54"/>
      <c r="R23" s="58"/>
      <c r="S23" s="54"/>
      <c r="T23" s="58"/>
    </row>
    <row r="24" spans="2:20" ht="15.5" x14ac:dyDescent="0.35">
      <c r="B24" s="59"/>
      <c r="C24" s="60" t="s">
        <v>134</v>
      </c>
      <c r="D24" s="61"/>
      <c r="E24" s="57"/>
      <c r="F24" s="58"/>
      <c r="G24" s="61"/>
      <c r="H24" s="453">
        <f>SUM(H8:H22)</f>
        <v>652.01915782434185</v>
      </c>
      <c r="I24" s="460"/>
      <c r="J24" s="455">
        <f>SUM(J8:J22)</f>
        <v>488.18199999999996</v>
      </c>
      <c r="K24" s="456">
        <f>SUM(K10:K22)</f>
        <v>295</v>
      </c>
      <c r="L24" s="453">
        <f>SUM(L10:L22)</f>
        <v>334</v>
      </c>
      <c r="M24" s="457">
        <f>N24/K24</f>
        <v>0.75</v>
      </c>
      <c r="N24" s="453">
        <f>SUM(N10:N22)</f>
        <v>221.25</v>
      </c>
      <c r="O24" s="458">
        <f>P24/L24</f>
        <v>0.74281437125748506</v>
      </c>
      <c r="P24" s="453">
        <f>SUM(P10:P22)</f>
        <v>248.1</v>
      </c>
      <c r="Q24" s="458">
        <f>R24/K24</f>
        <v>0.25</v>
      </c>
      <c r="R24" s="453">
        <f>SUM(R10:R22)</f>
        <v>73.75</v>
      </c>
      <c r="S24" s="458">
        <f>T24/(L24-L13)</f>
        <v>0.25</v>
      </c>
      <c r="T24" s="453">
        <f>SUM(T10:T22)</f>
        <v>77.5</v>
      </c>
    </row>
    <row r="25" spans="2:20" ht="9.75" customHeight="1" x14ac:dyDescent="0.35">
      <c r="B25" s="62"/>
      <c r="C25" s="63"/>
      <c r="D25" s="64"/>
      <c r="E25" s="64"/>
      <c r="F25" s="64"/>
      <c r="G25" s="64"/>
      <c r="H25" s="65"/>
      <c r="I25" s="66"/>
      <c r="J25" s="65"/>
      <c r="K25" s="65"/>
      <c r="L25" s="65"/>
      <c r="M25" s="67"/>
      <c r="N25" s="65"/>
      <c r="O25" s="67"/>
      <c r="P25" s="65"/>
      <c r="Q25" s="67"/>
      <c r="R25" s="65"/>
      <c r="S25" s="67"/>
      <c r="T25" s="65"/>
    </row>
    <row r="26" spans="2:20" ht="45" customHeight="1" x14ac:dyDescent="0.35">
      <c r="B26" s="62"/>
      <c r="C26" s="212" t="str">
        <f>Selections!B25</f>
        <v>UA allowed deviation range in %</v>
      </c>
      <c r="D26" s="221">
        <f>Selections!C25</f>
        <v>0.02</v>
      </c>
      <c r="E26" s="69"/>
      <c r="G26" s="34" t="s">
        <v>136</v>
      </c>
      <c r="H26" s="144" t="s">
        <v>231</v>
      </c>
      <c r="J26" s="144" t="s">
        <v>230</v>
      </c>
      <c r="M26" s="144" t="s">
        <v>229</v>
      </c>
      <c r="N26" s="144" t="s">
        <v>231</v>
      </c>
      <c r="O26" s="144" t="s">
        <v>229</v>
      </c>
      <c r="P26" s="144" t="s">
        <v>231</v>
      </c>
      <c r="Q26" s="144" t="s">
        <v>232</v>
      </c>
      <c r="R26" s="144" t="s">
        <v>233</v>
      </c>
      <c r="S26" s="144" t="s">
        <v>232</v>
      </c>
      <c r="T26" s="144" t="s">
        <v>233</v>
      </c>
    </row>
    <row r="27" spans="2:20" x14ac:dyDescent="0.35">
      <c r="C27" s="212" t="str">
        <f>Selections!B26</f>
        <v>U-Factor allowed deviation range absolute</v>
      </c>
      <c r="D27" s="222">
        <f>Selections!C26</f>
        <v>5.0000000000000001E-3</v>
      </c>
      <c r="G27" s="34" t="s">
        <v>138</v>
      </c>
      <c r="H27" s="211">
        <f>H24-(H24*$D$26)</f>
        <v>638.97877466785496</v>
      </c>
      <c r="J27" s="211">
        <f>J24-(J24*$D$26)</f>
        <v>478.41835999999995</v>
      </c>
      <c r="K27" s="212"/>
      <c r="L27" s="212"/>
      <c r="M27" s="213">
        <f>M$24-$D$27</f>
        <v>0.745</v>
      </c>
      <c r="N27" s="214">
        <f>N$24-$D$26*N$24</f>
        <v>216.82499999999999</v>
      </c>
      <c r="O27" s="215">
        <f>O$24-$D$27</f>
        <v>0.73781437125748506</v>
      </c>
      <c r="P27" s="214">
        <f>P$24-$D$26*P$24</f>
        <v>243.13800000000001</v>
      </c>
      <c r="Q27" s="215">
        <f>Q$24-$D$28</f>
        <v>0.245</v>
      </c>
      <c r="R27" s="214">
        <f>R$24-$D$26*R$24</f>
        <v>72.275000000000006</v>
      </c>
      <c r="S27" s="215">
        <f>S$24-$D$28</f>
        <v>0.245</v>
      </c>
      <c r="T27" s="214">
        <f>T$24-$D$26*T$24</f>
        <v>75.95</v>
      </c>
    </row>
    <row r="28" spans="2:20" x14ac:dyDescent="0.35">
      <c r="C28" s="212" t="str">
        <f>Selections!B27</f>
        <v>SHGC allowed deviation range absolute</v>
      </c>
      <c r="D28" s="222">
        <f>Selections!C27</f>
        <v>5.0000000000000001E-3</v>
      </c>
      <c r="G28" s="34" t="s">
        <v>140</v>
      </c>
      <c r="H28" s="211">
        <f>H24*(1+$D$26)</f>
        <v>665.05954098082873</v>
      </c>
      <c r="J28" s="211">
        <f>J24*(1+$D$26)</f>
        <v>497.94563999999997</v>
      </c>
      <c r="K28" s="212"/>
      <c r="L28" s="212"/>
      <c r="M28" s="213">
        <f>M$24+$D$27</f>
        <v>0.755</v>
      </c>
      <c r="N28" s="214">
        <f>N$24+$D$26*N$24</f>
        <v>225.67500000000001</v>
      </c>
      <c r="O28" s="215">
        <f>O$24+$D$28</f>
        <v>0.74781437125748507</v>
      </c>
      <c r="P28" s="214">
        <f>P$24+$D$26*P$24</f>
        <v>253.06199999999998</v>
      </c>
      <c r="Q28" s="215">
        <f>Q$24+$D$28</f>
        <v>0.255</v>
      </c>
      <c r="R28" s="214">
        <f>R$24+$D$26*R$24</f>
        <v>75.224999999999994</v>
      </c>
      <c r="S28" s="215">
        <f>S$24+$D$28</f>
        <v>0.255</v>
      </c>
      <c r="T28" s="214">
        <f>T$24+$D$26*T$24</f>
        <v>79.05</v>
      </c>
    </row>
    <row r="29" spans="2:20" x14ac:dyDescent="0.35">
      <c r="D29" s="34"/>
      <c r="G29" s="34"/>
      <c r="I29" s="70"/>
      <c r="J29" s="70"/>
      <c r="M29" s="71"/>
      <c r="N29" s="72"/>
      <c r="O29" s="73"/>
      <c r="P29" s="72"/>
      <c r="Q29" s="73"/>
      <c r="R29" s="72"/>
      <c r="S29" s="73"/>
      <c r="T29" s="72"/>
    </row>
    <row r="30" spans="2:20" ht="13.5" customHeight="1" x14ac:dyDescent="0.35">
      <c r="B30" s="33" t="s">
        <v>241</v>
      </c>
      <c r="G30" s="305" t="s">
        <v>425</v>
      </c>
      <c r="H30" s="449">
        <f>SUM(H14,H16,H18,H20,H22+H11)</f>
        <v>232.5</v>
      </c>
      <c r="J30" s="449">
        <f>SUM(J14,J16,J18,J20,J22+J11)</f>
        <v>157.5</v>
      </c>
    </row>
    <row r="31" spans="2:20" ht="19.5" customHeight="1" x14ac:dyDescent="0.35">
      <c r="B31" s="239" t="s">
        <v>259</v>
      </c>
      <c r="C31" s="60"/>
      <c r="D31" s="240"/>
      <c r="E31" s="64"/>
      <c r="F31" s="64"/>
      <c r="G31" s="64" t="s">
        <v>427</v>
      </c>
      <c r="H31" s="461">
        <f>1*H13</f>
        <v>15.600000000000001</v>
      </c>
      <c r="I31" s="72"/>
      <c r="J31" s="461">
        <f>1*J13</f>
        <v>12</v>
      </c>
      <c r="K31" s="72"/>
      <c r="L31" s="72"/>
      <c r="M31" s="73"/>
      <c r="N31" s="72"/>
      <c r="O31" s="73"/>
      <c r="P31" s="72"/>
      <c r="Q31" s="73"/>
      <c r="R31" s="72"/>
      <c r="S31" s="73"/>
      <c r="T31" s="72"/>
    </row>
    <row r="32" spans="2:20" ht="43.5" customHeight="1" x14ac:dyDescent="0.35">
      <c r="B32" s="74"/>
      <c r="C32" s="75" t="s">
        <v>141</v>
      </c>
      <c r="D32" s="76" t="s">
        <v>234</v>
      </c>
      <c r="F32" s="69"/>
      <c r="G32" s="320" t="s">
        <v>426</v>
      </c>
      <c r="H32" s="471">
        <f>SUM(H12,H15,H17,H19,H21)</f>
        <v>237.6162003452317</v>
      </c>
      <c r="J32" s="471">
        <f>SUM(J12,J15,J17,J19,J21)</f>
        <v>121.03200000000001</v>
      </c>
    </row>
    <row r="33" spans="2:10" x14ac:dyDescent="0.35">
      <c r="B33" s="78">
        <v>1</v>
      </c>
      <c r="C33" s="79" t="s">
        <v>30</v>
      </c>
      <c r="D33" s="93">
        <v>6.4000000000000001E-2</v>
      </c>
      <c r="G33" s="305" t="s">
        <v>428</v>
      </c>
      <c r="H33" s="449">
        <f>H8</f>
        <v>97.58408785479125</v>
      </c>
      <c r="J33" s="449">
        <f>J8</f>
        <v>128</v>
      </c>
    </row>
    <row r="34" spans="2:10" x14ac:dyDescent="0.35">
      <c r="B34" s="78">
        <v>2</v>
      </c>
      <c r="C34" s="79" t="s">
        <v>33</v>
      </c>
      <c r="D34" s="93"/>
      <c r="G34" s="305" t="s">
        <v>34</v>
      </c>
      <c r="H34" s="449">
        <f>H10</f>
        <v>68.718869624318856</v>
      </c>
      <c r="J34" s="449">
        <f>J10</f>
        <v>69.650000000000006</v>
      </c>
    </row>
    <row r="35" spans="2:10" x14ac:dyDescent="0.35">
      <c r="B35" s="78">
        <v>3</v>
      </c>
      <c r="C35" s="283" t="s">
        <v>416</v>
      </c>
      <c r="D35" s="93">
        <v>3.5000000000000003E-2</v>
      </c>
    </row>
    <row r="36" spans="2:10" x14ac:dyDescent="0.35">
      <c r="B36" s="78">
        <v>4</v>
      </c>
      <c r="C36" s="79" t="s">
        <v>417</v>
      </c>
      <c r="D36" s="393">
        <v>8.2000000000000003E-2</v>
      </c>
    </row>
    <row r="37" spans="2:10" x14ac:dyDescent="0.35">
      <c r="B37" s="78">
        <v>5</v>
      </c>
      <c r="C37" s="79" t="s">
        <v>144</v>
      </c>
      <c r="D37" s="93">
        <v>8.2000000000000003E-2</v>
      </c>
    </row>
    <row r="38" spans="2:10" x14ac:dyDescent="0.35">
      <c r="B38" s="78">
        <v>6</v>
      </c>
      <c r="C38" s="79" t="s">
        <v>35</v>
      </c>
      <c r="D38" s="91">
        <v>0.75</v>
      </c>
    </row>
    <row r="39" spans="2:10" x14ac:dyDescent="0.35">
      <c r="B39" s="78">
        <v>7</v>
      </c>
      <c r="C39" s="79" t="s">
        <v>38</v>
      </c>
      <c r="D39" s="91">
        <v>0.5</v>
      </c>
    </row>
    <row r="40" spans="2:10" x14ac:dyDescent="0.35">
      <c r="B40" s="83">
        <v>8</v>
      </c>
      <c r="C40" s="84" t="s">
        <v>145</v>
      </c>
      <c r="D40" s="148">
        <v>0.5</v>
      </c>
    </row>
    <row r="41" spans="2:10" ht="13.5" customHeight="1" x14ac:dyDescent="0.35">
      <c r="B41" s="47"/>
    </row>
    <row r="42" spans="2:10" s="305" customFormat="1" ht="13.5" customHeight="1" x14ac:dyDescent="0.35">
      <c r="B42" s="263"/>
    </row>
    <row r="43" spans="2:10" s="305" customFormat="1" ht="39.75" customHeight="1" x14ac:dyDescent="0.35">
      <c r="C43" s="257" t="s">
        <v>367</v>
      </c>
    </row>
    <row r="44" spans="2:10" s="305" customFormat="1" ht="13.5" customHeight="1" x14ac:dyDescent="0.35">
      <c r="B44" s="277" t="s">
        <v>30</v>
      </c>
      <c r="C44" s="276" t="s">
        <v>368</v>
      </c>
      <c r="D44" s="330"/>
      <c r="E44" s="277"/>
      <c r="F44" s="316"/>
      <c r="G44" s="317"/>
      <c r="H44" s="318"/>
    </row>
    <row r="45" spans="2:10" s="305" customFormat="1" ht="31.5" customHeight="1" x14ac:dyDescent="0.35">
      <c r="B45" s="316"/>
      <c r="C45" s="294" t="s">
        <v>146</v>
      </c>
      <c r="D45" s="295" t="s">
        <v>147</v>
      </c>
      <c r="E45" s="296" t="s">
        <v>148</v>
      </c>
      <c r="F45" s="303" t="s">
        <v>149</v>
      </c>
      <c r="G45" s="317"/>
      <c r="H45" s="318"/>
    </row>
    <row r="46" spans="2:10" s="305" customFormat="1" ht="13.5" customHeight="1" x14ac:dyDescent="0.35">
      <c r="B46" s="316"/>
      <c r="C46" s="294" t="s">
        <v>369</v>
      </c>
      <c r="D46" s="229">
        <f>1-D_M02!C52</f>
        <v>0.85</v>
      </c>
      <c r="E46" s="117">
        <f>D_M02!C52</f>
        <v>0.15</v>
      </c>
      <c r="F46" s="317"/>
      <c r="G46" s="317"/>
      <c r="H46" s="318"/>
    </row>
    <row r="47" spans="2:10" s="305" customFormat="1" ht="13.5" customHeight="1" x14ac:dyDescent="0.35">
      <c r="B47" s="262">
        <v>1</v>
      </c>
      <c r="C47" s="319" t="s">
        <v>370</v>
      </c>
      <c r="D47" s="297">
        <f>D_M02!C54</f>
        <v>1.02</v>
      </c>
      <c r="E47" s="298">
        <f>D_M02!C54</f>
        <v>1.02</v>
      </c>
      <c r="F47" s="320" t="s">
        <v>166</v>
      </c>
      <c r="G47" s="320"/>
      <c r="H47" s="321"/>
    </row>
    <row r="48" spans="2:10" s="305" customFormat="1" ht="13.5" customHeight="1" x14ac:dyDescent="0.35">
      <c r="B48" s="262">
        <v>2</v>
      </c>
      <c r="C48" s="319" t="s">
        <v>371</v>
      </c>
      <c r="D48" s="124">
        <f>D_M02!C55</f>
        <v>19</v>
      </c>
      <c r="E48" s="382">
        <v>0</v>
      </c>
      <c r="F48" s="320"/>
      <c r="G48" s="320"/>
      <c r="H48" s="321"/>
    </row>
    <row r="49" spans="2:8" s="305" customFormat="1" ht="13.5" customHeight="1" x14ac:dyDescent="0.35">
      <c r="B49" s="262">
        <v>3</v>
      </c>
      <c r="C49" s="332" t="s">
        <v>372</v>
      </c>
      <c r="D49" s="383">
        <v>0</v>
      </c>
      <c r="E49" s="384">
        <f>D_M02!C56</f>
        <v>6.88</v>
      </c>
      <c r="F49" s="320" t="s">
        <v>163</v>
      </c>
      <c r="G49" s="320"/>
      <c r="H49" s="321"/>
    </row>
    <row r="50" spans="2:8" s="305" customFormat="1" ht="13.5" customHeight="1" x14ac:dyDescent="0.35">
      <c r="B50" s="262">
        <v>4</v>
      </c>
      <c r="C50" s="333" t="s">
        <v>373</v>
      </c>
      <c r="D50" s="297">
        <f>D_M02!C57</f>
        <v>1.08</v>
      </c>
      <c r="E50" s="298">
        <f>D_M02!C57</f>
        <v>1.08</v>
      </c>
      <c r="F50" s="320" t="s">
        <v>155</v>
      </c>
      <c r="G50" s="320"/>
      <c r="H50" s="321"/>
    </row>
    <row r="51" spans="2:8" s="305" customFormat="1" ht="13.5" customHeight="1" x14ac:dyDescent="0.35">
      <c r="B51" s="262">
        <v>5</v>
      </c>
      <c r="C51" s="333" t="s">
        <v>374</v>
      </c>
      <c r="D51" s="297">
        <f>D_M02!C58</f>
        <v>2</v>
      </c>
      <c r="E51" s="298">
        <f>D_M02!C58</f>
        <v>2</v>
      </c>
      <c r="F51" s="320"/>
      <c r="G51" s="320"/>
      <c r="H51" s="321"/>
    </row>
    <row r="52" spans="2:8" s="305" customFormat="1" ht="13.5" customHeight="1" x14ac:dyDescent="0.35">
      <c r="B52" s="262">
        <v>6</v>
      </c>
      <c r="C52" s="333" t="s">
        <v>156</v>
      </c>
      <c r="D52" s="297">
        <f>D_M02!C59</f>
        <v>0.61</v>
      </c>
      <c r="E52" s="298">
        <f>D_M02!C59</f>
        <v>0.61</v>
      </c>
      <c r="F52" s="320" t="s">
        <v>157</v>
      </c>
      <c r="G52" s="320"/>
      <c r="H52" s="321"/>
    </row>
    <row r="53" spans="2:8" s="305" customFormat="1" ht="13.5" customHeight="1" x14ac:dyDescent="0.35">
      <c r="B53" s="262"/>
      <c r="C53" s="319" t="s">
        <v>158</v>
      </c>
      <c r="D53" s="297">
        <f>SUM(D47:D52)</f>
        <v>23.71</v>
      </c>
      <c r="E53" s="298">
        <f>SUM(E47:E52)</f>
        <v>11.59</v>
      </c>
      <c r="F53" s="320"/>
      <c r="G53" s="320"/>
      <c r="H53" s="321"/>
    </row>
    <row r="54" spans="2:8" s="305" customFormat="1" ht="13.5" customHeight="1" x14ac:dyDescent="0.35">
      <c r="B54" s="275"/>
      <c r="C54" s="323" t="s">
        <v>159</v>
      </c>
      <c r="D54" s="125">
        <f>1/D53</f>
        <v>4.217629692113032E-2</v>
      </c>
      <c r="E54" s="122">
        <f>1/E53</f>
        <v>8.6281276962899056E-2</v>
      </c>
      <c r="F54" s="324"/>
      <c r="G54" s="324"/>
      <c r="H54" s="325"/>
    </row>
    <row r="55" spans="2:8" s="305" customFormat="1" ht="13.5" customHeight="1" x14ac:dyDescent="0.35">
      <c r="B55" s="262"/>
      <c r="C55" s="319" t="s">
        <v>160</v>
      </c>
      <c r="D55" s="136">
        <f>D54*D46+E54*E46</f>
        <v>4.8792043927395626E-2</v>
      </c>
      <c r="E55" s="385"/>
      <c r="F55" s="306"/>
      <c r="G55" s="320"/>
      <c r="H55" s="321"/>
    </row>
    <row r="56" spans="2:8" s="305" customFormat="1" ht="13.5" customHeight="1" x14ac:dyDescent="0.35">
      <c r="B56" s="275"/>
      <c r="C56" s="323" t="s">
        <v>161</v>
      </c>
      <c r="D56" s="210">
        <f>1/D55</f>
        <v>20.495144689737472</v>
      </c>
      <c r="E56" s="386"/>
      <c r="F56" s="322"/>
      <c r="G56" s="324"/>
      <c r="H56" s="325"/>
    </row>
    <row r="57" spans="2:8" ht="13.5" customHeight="1" x14ac:dyDescent="0.35">
      <c r="B57" s="47"/>
    </row>
    <row r="58" spans="2:8" ht="30.75" customHeight="1" x14ac:dyDescent="0.35">
      <c r="B58" s="495" t="s">
        <v>436</v>
      </c>
      <c r="C58" s="257" t="s">
        <v>437</v>
      </c>
    </row>
    <row r="59" spans="2:8" ht="31.5" customHeight="1" x14ac:dyDescent="0.35">
      <c r="B59" s="35"/>
      <c r="C59" s="270" t="s">
        <v>146</v>
      </c>
      <c r="D59" s="99" t="s">
        <v>147</v>
      </c>
      <c r="E59" s="158" t="s">
        <v>148</v>
      </c>
      <c r="F59" s="54" t="s">
        <v>142</v>
      </c>
      <c r="G59" s="57"/>
      <c r="H59" s="77"/>
    </row>
    <row r="60" spans="2:8" x14ac:dyDescent="0.35">
      <c r="B60" s="35"/>
      <c r="C60" s="333" t="s">
        <v>442</v>
      </c>
      <c r="D60" s="123">
        <f>1-D_M02!C65</f>
        <v>0.92999999999999994</v>
      </c>
      <c r="E60" s="139">
        <f>D_M02!C65</f>
        <v>7.0000000000000007E-2</v>
      </c>
      <c r="G60" s="69"/>
      <c r="H60" s="82"/>
    </row>
    <row r="61" spans="2:8" s="305" customFormat="1" x14ac:dyDescent="0.35">
      <c r="B61" s="262">
        <v>1</v>
      </c>
      <c r="C61" s="237" t="str">
        <f>D_M02!B68</f>
        <v>Roof outside film R-Value</v>
      </c>
      <c r="D61" s="496">
        <f>D_M02!C68</f>
        <v>0.25</v>
      </c>
      <c r="E61" s="496">
        <f>D_M02!C68</f>
        <v>0.25</v>
      </c>
      <c r="G61" s="320"/>
      <c r="H61" s="321"/>
    </row>
    <row r="62" spans="2:8" s="305" customFormat="1" x14ac:dyDescent="0.35">
      <c r="B62" s="262">
        <v>2</v>
      </c>
      <c r="C62" s="237" t="str">
        <f>D_M02!B69</f>
        <v>Roof Skin R-Value</v>
      </c>
      <c r="D62" s="496">
        <f>D_M02!C69</f>
        <v>1.25</v>
      </c>
      <c r="E62" s="496">
        <f>D_M02!C69</f>
        <v>1.25</v>
      </c>
      <c r="G62" s="320"/>
      <c r="H62" s="321"/>
    </row>
    <row r="63" spans="2:8" s="305" customFormat="1" x14ac:dyDescent="0.35">
      <c r="B63" s="262">
        <v>3</v>
      </c>
      <c r="C63" s="237" t="str">
        <f>D_M02!B70</f>
        <v>Roof Inside Film Slope Down R-Value</v>
      </c>
      <c r="D63" s="496">
        <f>D_M02!C70</f>
        <v>0.76</v>
      </c>
      <c r="E63" s="496">
        <f>D_M02!C70</f>
        <v>0.76</v>
      </c>
      <c r="G63" s="320"/>
      <c r="H63" s="321"/>
    </row>
    <row r="64" spans="2:8" ht="15.75" customHeight="1" x14ac:dyDescent="0.35">
      <c r="B64" s="262">
        <v>4</v>
      </c>
      <c r="C64" s="237" t="str">
        <f>D_M02!B71</f>
        <v>Attic Air film</v>
      </c>
      <c r="D64" s="90">
        <f>D_M02!C71</f>
        <v>0.61</v>
      </c>
      <c r="E64" s="140">
        <f>D_M02!C71</f>
        <v>0.61</v>
      </c>
      <c r="F64" s="45"/>
      <c r="G64" s="69"/>
      <c r="H64" s="82"/>
    </row>
    <row r="65" spans="2:10" ht="15.75" customHeight="1" x14ac:dyDescent="0.35">
      <c r="B65" s="494">
        <v>5</v>
      </c>
      <c r="C65" s="493" t="str">
        <f>D_M02!B72</f>
        <v>Batt Insulation R38</v>
      </c>
      <c r="D65" s="490">
        <f>D_M02!C72</f>
        <v>38</v>
      </c>
      <c r="E65" s="491">
        <v>0</v>
      </c>
      <c r="F65" s="508" t="s">
        <v>435</v>
      </c>
      <c r="G65" s="509"/>
      <c r="H65" s="510"/>
    </row>
    <row r="66" spans="2:10" ht="15.75" customHeight="1" x14ac:dyDescent="0.35">
      <c r="B66" s="494">
        <v>6</v>
      </c>
      <c r="C66" s="493" t="str">
        <f>D_M02!B73</f>
        <v>Wood Stud 2 x 4: Nominal</v>
      </c>
      <c r="D66" s="490">
        <v>0</v>
      </c>
      <c r="E66" s="492">
        <f>D_M02!C73</f>
        <v>4.38</v>
      </c>
      <c r="F66" s="508"/>
      <c r="G66" s="509"/>
      <c r="H66" s="510"/>
    </row>
    <row r="67" spans="2:10" s="305" customFormat="1" ht="15.75" customHeight="1" x14ac:dyDescent="0.35">
      <c r="B67" s="262"/>
      <c r="C67" s="237" t="s">
        <v>434</v>
      </c>
      <c r="D67" s="298">
        <f>1/($D60/($D65+$D66)+$E60/($E65+$E66))</f>
        <v>24.718567142899577</v>
      </c>
      <c r="E67" s="298">
        <f>1/($D60/($D65+$D66)+$E60/($E65+$E66))</f>
        <v>24.718567142899577</v>
      </c>
      <c r="F67" s="306"/>
      <c r="G67" s="320"/>
      <c r="H67" s="321"/>
    </row>
    <row r="68" spans="2:10" ht="15.75" customHeight="1" x14ac:dyDescent="0.35">
      <c r="B68" s="262">
        <v>7</v>
      </c>
      <c r="C68" s="237" t="str">
        <f>D_M02!B74</f>
        <v xml:space="preserve">0.5 Inch Drywall </v>
      </c>
      <c r="D68" s="90">
        <f>D_M02!C74</f>
        <v>0.45</v>
      </c>
      <c r="E68" s="140">
        <f>D_M02!C74</f>
        <v>0.45</v>
      </c>
      <c r="F68" s="81"/>
      <c r="G68" s="69"/>
      <c r="H68" s="82"/>
    </row>
    <row r="69" spans="2:10" ht="15.75" customHeight="1" x14ac:dyDescent="0.35">
      <c r="B69" s="262">
        <v>8</v>
      </c>
      <c r="C69" s="237" t="str">
        <f>D_M02!B75</f>
        <v>Indoor Air film</v>
      </c>
      <c r="D69" s="90">
        <f>D_M02!C75</f>
        <v>0.92</v>
      </c>
      <c r="E69" s="140">
        <f>D_M02!C75</f>
        <v>0.92</v>
      </c>
      <c r="F69" s="81"/>
      <c r="G69" s="69"/>
      <c r="H69" s="82"/>
    </row>
    <row r="70" spans="2:10" ht="15.75" customHeight="1" x14ac:dyDescent="0.35">
      <c r="B70" s="44"/>
      <c r="C70" s="319" t="s">
        <v>429</v>
      </c>
      <c r="D70" s="298">
        <f>SUM(D61:D64,D67,D68:D69)</f>
        <v>28.958567142899579</v>
      </c>
      <c r="E70" s="298">
        <f>SUM(E61:E64,E67,E68:E69)</f>
        <v>28.958567142899579</v>
      </c>
      <c r="F70" s="81"/>
      <c r="G70" s="69"/>
      <c r="H70" s="82"/>
    </row>
    <row r="71" spans="2:10" ht="15.75" customHeight="1" x14ac:dyDescent="0.35">
      <c r="B71" s="479"/>
      <c r="C71" s="480" t="s">
        <v>430</v>
      </c>
      <c r="D71" s="481">
        <f>IF(D70&gt;0, 1/D70, 0)</f>
        <v>3.4532095288602439E-2</v>
      </c>
      <c r="E71" s="482">
        <f>IF(E70&gt;0, 1/E70, 0)</f>
        <v>3.4532095288602439E-2</v>
      </c>
      <c r="F71" s="483"/>
      <c r="G71" s="484"/>
      <c r="H71" s="485"/>
    </row>
    <row r="72" spans="2:10" ht="18" customHeight="1" x14ac:dyDescent="0.35">
      <c r="B72" s="44"/>
      <c r="C72" s="327" t="s">
        <v>160</v>
      </c>
      <c r="D72" s="118">
        <f>IF(D71=E71,D71,0)</f>
        <v>3.4532095288602439E-2</v>
      </c>
      <c r="E72" s="321"/>
      <c r="F72" s="81" t="s">
        <v>81</v>
      </c>
      <c r="G72" s="69"/>
      <c r="H72" s="82"/>
      <c r="J72" s="305" t="s">
        <v>438</v>
      </c>
    </row>
    <row r="73" spans="2:10" ht="18" customHeight="1" x14ac:dyDescent="0.35">
      <c r="B73" s="52"/>
      <c r="C73" s="323" t="s">
        <v>161</v>
      </c>
      <c r="D73" s="489">
        <f>IF(D72&gt;0,1/D72,0)</f>
        <v>28.958567142899579</v>
      </c>
      <c r="E73" s="325"/>
      <c r="F73" s="85"/>
      <c r="G73" s="86"/>
      <c r="H73" s="87"/>
    </row>
    <row r="74" spans="2:10" x14ac:dyDescent="0.35">
      <c r="B74" s="34"/>
      <c r="F74" s="69"/>
      <c r="G74" s="69"/>
      <c r="H74" s="69"/>
    </row>
    <row r="75" spans="2:10" x14ac:dyDescent="0.35">
      <c r="B75" s="34"/>
      <c r="F75" s="69"/>
      <c r="G75" s="69"/>
      <c r="H75" s="69"/>
    </row>
    <row r="76" spans="2:10" ht="35.25" customHeight="1" x14ac:dyDescent="0.35">
      <c r="B76" s="33" t="s">
        <v>36</v>
      </c>
      <c r="C76" s="88" t="s">
        <v>239</v>
      </c>
      <c r="F76" s="69"/>
      <c r="G76" s="69"/>
      <c r="H76" s="69"/>
    </row>
    <row r="77" spans="2:10" ht="33" customHeight="1" x14ac:dyDescent="0.35">
      <c r="B77" s="54"/>
      <c r="C77" s="95" t="s">
        <v>146</v>
      </c>
      <c r="D77" s="99" t="s">
        <v>147</v>
      </c>
      <c r="E77" s="158" t="s">
        <v>148</v>
      </c>
      <c r="F77" s="54" t="s">
        <v>142</v>
      </c>
      <c r="G77" s="57"/>
      <c r="H77" s="77"/>
    </row>
    <row r="78" spans="2:10" x14ac:dyDescent="0.35">
      <c r="B78" s="35"/>
      <c r="C78" s="89" t="s">
        <v>150</v>
      </c>
      <c r="D78" s="132">
        <f>1-D_M02!C80</f>
        <v>0.75</v>
      </c>
      <c r="E78" s="123">
        <f>D_M02!C80</f>
        <v>0.25</v>
      </c>
      <c r="G78" s="69"/>
      <c r="H78" s="82"/>
    </row>
    <row r="79" spans="2:10" x14ac:dyDescent="0.35">
      <c r="B79" s="44">
        <v>1</v>
      </c>
      <c r="C79" s="237" t="str">
        <f>D_M02!B84</f>
        <v>Outside Air Film (7.5 mph wind, Summer)</v>
      </c>
      <c r="D79" s="100">
        <f>D_M02!C84</f>
        <v>0.25</v>
      </c>
      <c r="E79" s="120">
        <f>D_M02!C84</f>
        <v>0.25</v>
      </c>
      <c r="F79" s="81"/>
      <c r="G79" s="69"/>
      <c r="H79" s="82"/>
    </row>
    <row r="80" spans="2:10" x14ac:dyDescent="0.35">
      <c r="B80" s="44">
        <v>2</v>
      </c>
      <c r="C80" s="237" t="str">
        <f>D_M02!B85</f>
        <v>Stucco (0.8 Inch thick, conductivity=9.7 Btu-in/h-ft2-°F)</v>
      </c>
      <c r="D80" s="118">
        <f>D_M02!C85</f>
        <v>8.2474226804123724E-2</v>
      </c>
      <c r="E80" s="118">
        <f>D_M02!C85</f>
        <v>8.2474226804123724E-2</v>
      </c>
      <c r="F80" s="81"/>
      <c r="G80" s="69"/>
      <c r="H80" s="82"/>
    </row>
    <row r="81" spans="2:8" x14ac:dyDescent="0.35">
      <c r="B81" s="44">
        <v>3</v>
      </c>
      <c r="C81" s="237" t="str">
        <f>D_M02!B86</f>
        <v>0.5 Inch Plywood Exterior</v>
      </c>
      <c r="D81" s="135">
        <f>D_M02!C86</f>
        <v>0.79</v>
      </c>
      <c r="E81" s="90">
        <f>D_M02!C86</f>
        <v>0.79</v>
      </c>
      <c r="F81" s="81"/>
      <c r="G81" s="69"/>
      <c r="H81" s="82"/>
    </row>
    <row r="82" spans="2:8" x14ac:dyDescent="0.35">
      <c r="B82" s="44">
        <v>4</v>
      </c>
      <c r="C82" s="237" t="str">
        <f>D_M02!B87</f>
        <v>Wood Stud 2 x 4: Nominal</v>
      </c>
      <c r="D82" s="135">
        <v>0</v>
      </c>
      <c r="E82" s="90">
        <f>D_M02!C87</f>
        <v>4.38</v>
      </c>
      <c r="F82" s="81"/>
      <c r="G82" s="69"/>
      <c r="H82" s="82"/>
    </row>
    <row r="83" spans="2:8" x14ac:dyDescent="0.35">
      <c r="B83" s="44">
        <v>5</v>
      </c>
      <c r="C83" s="237" t="str">
        <f>D_M02!B88</f>
        <v>Fiber Glass Batt Insulation R13</v>
      </c>
      <c r="D83" s="135">
        <f>D_M02!C88</f>
        <v>13</v>
      </c>
      <c r="E83" s="119">
        <v>0</v>
      </c>
      <c r="F83" s="81"/>
      <c r="G83" s="69"/>
      <c r="H83" s="82"/>
    </row>
    <row r="84" spans="2:8" x14ac:dyDescent="0.35">
      <c r="B84" s="44">
        <v>6</v>
      </c>
      <c r="C84" s="237" t="str">
        <f>D_M02!B89</f>
        <v xml:space="preserve">0.5 Inch Drywall </v>
      </c>
      <c r="D84" s="100">
        <f>D_M02!C89</f>
        <v>0.45</v>
      </c>
      <c r="E84" s="120">
        <f>D_M02!C89</f>
        <v>0.45</v>
      </c>
      <c r="F84" s="81"/>
      <c r="G84" s="69"/>
      <c r="H84" s="82"/>
    </row>
    <row r="85" spans="2:8" x14ac:dyDescent="0.35">
      <c r="B85" s="44">
        <v>7</v>
      </c>
      <c r="C85" s="237" t="str">
        <f>D_M02!B90</f>
        <v>Indoor Air Film</v>
      </c>
      <c r="D85" s="100">
        <f>D_M02!C90</f>
        <v>0.68</v>
      </c>
      <c r="E85" s="120">
        <f>D_M02!C90</f>
        <v>0.68</v>
      </c>
      <c r="F85" s="81"/>
      <c r="G85" s="69"/>
      <c r="H85" s="82"/>
    </row>
    <row r="86" spans="2:8" x14ac:dyDescent="0.35">
      <c r="B86" s="44"/>
      <c r="C86" s="80" t="s">
        <v>169</v>
      </c>
      <c r="D86" s="135">
        <f>SUM(D79:D85)</f>
        <v>15.252474226804123</v>
      </c>
      <c r="E86" s="90">
        <f>SUM(E79:E85)</f>
        <v>6.6324742268041232</v>
      </c>
      <c r="F86" s="81"/>
      <c r="G86" s="69"/>
      <c r="H86" s="82"/>
    </row>
    <row r="87" spans="2:8" x14ac:dyDescent="0.35">
      <c r="B87" s="85"/>
      <c r="C87" s="92" t="s">
        <v>170</v>
      </c>
      <c r="D87" s="134">
        <f>1/D86</f>
        <v>6.5563133241860375E-2</v>
      </c>
      <c r="E87" s="118">
        <f>1/E86</f>
        <v>0.15077329602860032</v>
      </c>
      <c r="F87" s="81"/>
      <c r="G87" s="69"/>
      <c r="H87" s="82"/>
    </row>
    <row r="88" spans="2:8" ht="16.5" customHeight="1" x14ac:dyDescent="0.35">
      <c r="B88" s="81"/>
      <c r="C88" s="81" t="s">
        <v>160</v>
      </c>
      <c r="D88" s="101">
        <f>D87*D78+E87*E78</f>
        <v>8.6865673938545357E-2</v>
      </c>
      <c r="E88" s="94"/>
      <c r="F88" s="81" t="s">
        <v>83</v>
      </c>
      <c r="G88" s="69"/>
      <c r="H88" s="82"/>
    </row>
    <row r="89" spans="2:8" ht="16.5" customHeight="1" x14ac:dyDescent="0.35">
      <c r="B89" s="54"/>
      <c r="C89" s="54" t="s">
        <v>161</v>
      </c>
      <c r="D89" s="137">
        <f>1/D88</f>
        <v>11.512027187027496</v>
      </c>
      <c r="E89" s="94"/>
      <c r="F89" s="52"/>
      <c r="G89" s="86"/>
      <c r="H89" s="87"/>
    </row>
    <row r="92" spans="2:8" x14ac:dyDescent="0.35">
      <c r="C92" s="305"/>
      <c r="D92" s="305"/>
      <c r="E92" s="305"/>
      <c r="F92" s="64"/>
      <c r="G92" s="320"/>
      <c r="H92" s="320"/>
    </row>
    <row r="93" spans="2:8" ht="24" customHeight="1" x14ac:dyDescent="0.35">
      <c r="B93" s="374" t="s">
        <v>36</v>
      </c>
      <c r="C93" s="375" t="s">
        <v>365</v>
      </c>
      <c r="D93" s="305"/>
      <c r="E93" s="305"/>
      <c r="F93" s="64"/>
      <c r="G93" s="320"/>
      <c r="H93" s="320"/>
    </row>
    <row r="94" spans="2:8" x14ac:dyDescent="0.35">
      <c r="C94" s="331" t="s">
        <v>307</v>
      </c>
      <c r="D94" s="331"/>
      <c r="E94" s="331"/>
      <c r="F94" s="64"/>
      <c r="G94" s="320"/>
      <c r="H94" s="320"/>
    </row>
    <row r="95" spans="2:8" ht="29" x14ac:dyDescent="0.35">
      <c r="C95" s="277"/>
      <c r="D95" s="315" t="s">
        <v>308</v>
      </c>
      <c r="E95" s="314" t="s">
        <v>309</v>
      </c>
      <c r="F95" s="348"/>
      <c r="G95" s="320"/>
      <c r="H95" s="320"/>
    </row>
    <row r="96" spans="2:8" x14ac:dyDescent="0.35">
      <c r="C96" s="316" t="s">
        <v>310</v>
      </c>
      <c r="D96" s="373">
        <f>D_M02!C99</f>
        <v>0.8</v>
      </c>
      <c r="E96" s="370">
        <f>D_M02!C108</f>
        <v>8.2474226804123724E-2</v>
      </c>
      <c r="F96" s="64"/>
      <c r="G96" s="320"/>
      <c r="H96" s="320"/>
    </row>
    <row r="97" spans="3:8" x14ac:dyDescent="0.35">
      <c r="C97" s="306" t="s">
        <v>168</v>
      </c>
      <c r="D97" s="401">
        <v>0.5</v>
      </c>
      <c r="E97" s="140">
        <f>D_M02!C109</f>
        <v>0.79</v>
      </c>
      <c r="F97" s="64"/>
      <c r="G97" s="320"/>
      <c r="H97" s="320"/>
    </row>
    <row r="98" spans="3:8" x14ac:dyDescent="0.35">
      <c r="C98" s="306" t="s">
        <v>311</v>
      </c>
      <c r="D98" s="401">
        <v>3.5</v>
      </c>
      <c r="E98" s="141">
        <f>D_M02!C110</f>
        <v>13</v>
      </c>
      <c r="F98" s="348"/>
      <c r="G98" s="320"/>
      <c r="H98" s="320"/>
    </row>
    <row r="99" spans="3:8" x14ac:dyDescent="0.35">
      <c r="C99" s="306" t="s">
        <v>312</v>
      </c>
      <c r="D99" s="401">
        <v>0.5</v>
      </c>
      <c r="E99" s="140">
        <f>D_M02!C111</f>
        <v>0.45</v>
      </c>
      <c r="F99" s="64"/>
      <c r="G99" s="320"/>
      <c r="H99" s="320"/>
    </row>
    <row r="100" spans="3:8" x14ac:dyDescent="0.35">
      <c r="C100" s="322" t="s">
        <v>318</v>
      </c>
      <c r="D100" s="322"/>
      <c r="E100" s="142">
        <f>D_M02!C112</f>
        <v>1.0999999999999999E-2</v>
      </c>
      <c r="F100" s="64"/>
      <c r="G100" s="320"/>
      <c r="H100" s="320"/>
    </row>
    <row r="101" spans="3:8" x14ac:dyDescent="0.35">
      <c r="C101" s="316" t="s">
        <v>366</v>
      </c>
      <c r="D101" s="372">
        <f>D_M02!C101</f>
        <v>3.5</v>
      </c>
      <c r="E101" s="371"/>
      <c r="F101" s="64"/>
      <c r="G101" s="320"/>
      <c r="H101" s="320"/>
    </row>
    <row r="102" spans="3:8" x14ac:dyDescent="0.35">
      <c r="C102" s="306" t="s">
        <v>313</v>
      </c>
      <c r="D102" s="338">
        <f>D_M02!C102</f>
        <v>3.5</v>
      </c>
      <c r="E102" s="264"/>
      <c r="F102" s="64"/>
      <c r="G102" s="320"/>
      <c r="H102" s="320"/>
    </row>
    <row r="103" spans="3:8" x14ac:dyDescent="0.35">
      <c r="C103" s="306" t="s">
        <v>314</v>
      </c>
      <c r="D103" s="338">
        <f>D_M02!C103</f>
        <v>16</v>
      </c>
      <c r="E103" s="264"/>
      <c r="F103" s="64"/>
      <c r="G103" s="320"/>
      <c r="H103" s="320"/>
    </row>
    <row r="104" spans="3:8" x14ac:dyDescent="0.35">
      <c r="C104" s="306" t="s">
        <v>315</v>
      </c>
      <c r="D104" s="338">
        <f>D_M02!C104</f>
        <v>1.25</v>
      </c>
      <c r="E104" s="264"/>
      <c r="F104" s="64"/>
      <c r="G104" s="320"/>
      <c r="H104" s="320"/>
    </row>
    <row r="105" spans="3:8" x14ac:dyDescent="0.35">
      <c r="C105" s="322" t="s">
        <v>317</v>
      </c>
      <c r="D105" s="341">
        <f>D_M02!C105</f>
        <v>0.02</v>
      </c>
      <c r="E105" s="307"/>
      <c r="F105" s="64"/>
      <c r="G105" s="320"/>
      <c r="H105" s="320"/>
    </row>
    <row r="106" spans="3:8" s="305" customFormat="1" x14ac:dyDescent="0.35">
      <c r="F106" s="64"/>
      <c r="G106" s="320"/>
      <c r="H106" s="320"/>
    </row>
    <row r="107" spans="3:8" ht="20.25" customHeight="1" x14ac:dyDescent="0.35">
      <c r="C107" s="402" t="s">
        <v>305</v>
      </c>
      <c r="D107" s="403"/>
      <c r="E107" s="367"/>
    </row>
    <row r="108" spans="3:8" ht="16.5" x14ac:dyDescent="0.35">
      <c r="C108" s="367" t="s">
        <v>320</v>
      </c>
      <c r="D108" s="367"/>
      <c r="E108" s="367"/>
    </row>
    <row r="109" spans="3:8" x14ac:dyDescent="0.35">
      <c r="C109" s="301" t="s">
        <v>321</v>
      </c>
      <c r="D109" s="301" t="s">
        <v>322</v>
      </c>
      <c r="E109" s="302" t="s">
        <v>172</v>
      </c>
      <c r="F109" s="277" t="s">
        <v>142</v>
      </c>
      <c r="G109" s="330"/>
      <c r="H109" s="343"/>
    </row>
    <row r="110" spans="3:8" x14ac:dyDescent="0.35">
      <c r="C110" s="306" t="s">
        <v>334</v>
      </c>
      <c r="D110" s="138">
        <f>D103</f>
        <v>16</v>
      </c>
      <c r="E110" s="264" t="s">
        <v>323</v>
      </c>
      <c r="F110" s="346"/>
      <c r="G110" s="317"/>
      <c r="H110" s="318"/>
    </row>
    <row r="111" spans="3:8" x14ac:dyDescent="0.35">
      <c r="C111" s="306" t="s">
        <v>335</v>
      </c>
      <c r="D111" s="339">
        <f>E96/D96</f>
        <v>0.10309278350515465</v>
      </c>
      <c r="E111" s="264" t="s">
        <v>324</v>
      </c>
      <c r="F111" s="347"/>
      <c r="G111" s="320"/>
      <c r="H111" s="321"/>
    </row>
    <row r="112" spans="3:8" x14ac:dyDescent="0.35">
      <c r="C112" s="306" t="s">
        <v>336</v>
      </c>
      <c r="D112" s="339">
        <f>E97/D97</f>
        <v>1.58</v>
      </c>
      <c r="E112" s="264" t="s">
        <v>324</v>
      </c>
      <c r="F112" s="347"/>
      <c r="G112" s="320"/>
      <c r="H112" s="321"/>
    </row>
    <row r="113" spans="3:8" x14ac:dyDescent="0.35">
      <c r="C113" s="306" t="s">
        <v>337</v>
      </c>
      <c r="D113" s="339">
        <f>E98/D98</f>
        <v>3.7142857142857144</v>
      </c>
      <c r="E113" s="264" t="s">
        <v>324</v>
      </c>
      <c r="F113" s="347"/>
      <c r="G113" s="320"/>
      <c r="H113" s="321"/>
    </row>
    <row r="114" spans="3:8" x14ac:dyDescent="0.35">
      <c r="C114" s="306" t="s">
        <v>338</v>
      </c>
      <c r="D114" s="135">
        <f>SUM(D112,D111)/D113</f>
        <v>0.45314036478984937</v>
      </c>
      <c r="E114" s="264" t="s">
        <v>185</v>
      </c>
      <c r="F114" s="306"/>
      <c r="G114" s="320"/>
      <c r="H114" s="321"/>
    </row>
    <row r="115" spans="3:8" x14ac:dyDescent="0.35">
      <c r="C115" s="277" t="s">
        <v>339</v>
      </c>
      <c r="D115" s="400">
        <v>1.25</v>
      </c>
      <c r="E115" s="302" t="s">
        <v>185</v>
      </c>
      <c r="F115" s="277" t="s">
        <v>82</v>
      </c>
      <c r="G115" s="330"/>
      <c r="H115" s="334"/>
    </row>
    <row r="116" spans="3:8" x14ac:dyDescent="0.35">
      <c r="C116" s="305"/>
      <c r="D116" s="305"/>
      <c r="E116" s="305"/>
      <c r="F116" s="64"/>
      <c r="G116" s="320"/>
      <c r="H116" s="320"/>
    </row>
    <row r="117" spans="3:8" x14ac:dyDescent="0.35">
      <c r="C117" s="331" t="s">
        <v>325</v>
      </c>
      <c r="D117" s="331"/>
      <c r="E117" s="331"/>
      <c r="F117" s="64"/>
      <c r="G117" s="320"/>
      <c r="H117" s="320"/>
    </row>
    <row r="118" spans="3:8" ht="15" thickBot="1" x14ac:dyDescent="0.4">
      <c r="C118" s="311" t="s">
        <v>321</v>
      </c>
      <c r="D118" s="311" t="s">
        <v>322</v>
      </c>
      <c r="E118" s="312" t="s">
        <v>172</v>
      </c>
      <c r="F118" s="64"/>
      <c r="G118" s="320"/>
      <c r="H118" s="320"/>
    </row>
    <row r="119" spans="3:8" ht="17" thickTop="1" x14ac:dyDescent="0.35">
      <c r="C119" s="316" t="s">
        <v>350</v>
      </c>
      <c r="D119" s="372">
        <f>D101</f>
        <v>3.5</v>
      </c>
      <c r="E119" s="278" t="s">
        <v>174</v>
      </c>
      <c r="F119" s="64"/>
      <c r="G119" s="320"/>
      <c r="H119" s="320"/>
    </row>
    <row r="120" spans="3:8" ht="16.5" x14ac:dyDescent="0.35">
      <c r="C120" s="306" t="s">
        <v>349</v>
      </c>
      <c r="D120" s="338">
        <f>2*D105</f>
        <v>0.04</v>
      </c>
      <c r="E120" s="271" t="s">
        <v>174</v>
      </c>
      <c r="F120" s="64"/>
      <c r="G120" s="320"/>
      <c r="H120" s="320"/>
    </row>
    <row r="121" spans="3:8" ht="16.5" x14ac:dyDescent="0.35">
      <c r="C121" s="306" t="s">
        <v>348</v>
      </c>
      <c r="D121" s="338">
        <f>D119-D120</f>
        <v>3.46</v>
      </c>
      <c r="E121" s="271" t="s">
        <v>174</v>
      </c>
      <c r="F121" s="64"/>
      <c r="G121" s="320"/>
      <c r="H121" s="320"/>
    </row>
    <row r="122" spans="3:8" x14ac:dyDescent="0.35">
      <c r="C122" s="306" t="s">
        <v>326</v>
      </c>
      <c r="D122" s="135">
        <f>SUM(D96,D97)</f>
        <v>1.3</v>
      </c>
      <c r="E122" s="271" t="s">
        <v>174</v>
      </c>
      <c r="F122" s="64"/>
      <c r="G122" s="320"/>
      <c r="H122" s="320"/>
    </row>
    <row r="123" spans="3:8" x14ac:dyDescent="0.35">
      <c r="C123" s="306" t="s">
        <v>347</v>
      </c>
      <c r="D123" s="338">
        <f>D104</f>
        <v>1.25</v>
      </c>
      <c r="E123" s="271" t="s">
        <v>174</v>
      </c>
      <c r="F123" s="64"/>
      <c r="G123" s="320"/>
      <c r="H123" s="320"/>
    </row>
    <row r="124" spans="3:8" x14ac:dyDescent="0.35">
      <c r="C124" s="277" t="s">
        <v>346</v>
      </c>
      <c r="D124" s="230">
        <f>D123+D115*D122</f>
        <v>2.875</v>
      </c>
      <c r="E124" s="279" t="s">
        <v>174</v>
      </c>
      <c r="F124" s="64"/>
      <c r="G124" s="320"/>
      <c r="H124" s="320"/>
    </row>
    <row r="125" spans="3:8" x14ac:dyDescent="0.35">
      <c r="C125" s="305"/>
      <c r="D125" s="305"/>
      <c r="E125" s="305"/>
      <c r="F125" s="64"/>
      <c r="G125" s="320"/>
      <c r="H125" s="320"/>
    </row>
    <row r="126" spans="3:8" x14ac:dyDescent="0.35">
      <c r="C126" s="331" t="s">
        <v>327</v>
      </c>
      <c r="D126" s="331"/>
      <c r="E126" s="331"/>
      <c r="F126" s="64"/>
      <c r="G126" s="320"/>
      <c r="H126" s="320"/>
    </row>
    <row r="127" spans="3:8" ht="15" thickBot="1" x14ac:dyDescent="0.4">
      <c r="C127" s="311" t="s">
        <v>321</v>
      </c>
      <c r="D127" s="311" t="s">
        <v>322</v>
      </c>
      <c r="E127" s="312" t="s">
        <v>172</v>
      </c>
      <c r="F127" s="64"/>
      <c r="G127" s="320"/>
      <c r="H127" s="320"/>
    </row>
    <row r="128" spans="3:8" ht="15" thickTop="1" x14ac:dyDescent="0.35">
      <c r="C128" s="306" t="s">
        <v>328</v>
      </c>
      <c r="D128" s="306"/>
      <c r="E128" s="321"/>
      <c r="F128" s="64"/>
      <c r="G128" s="320"/>
      <c r="H128" s="320"/>
    </row>
    <row r="129" spans="3:8" ht="16.5" x14ac:dyDescent="0.35">
      <c r="C129" s="292" t="s">
        <v>344</v>
      </c>
      <c r="D129" s="135">
        <f>D96</f>
        <v>0.8</v>
      </c>
      <c r="E129" s="264" t="s">
        <v>174</v>
      </c>
      <c r="F129" s="64"/>
      <c r="G129" s="320"/>
      <c r="H129" s="320"/>
    </row>
    <row r="130" spans="3:8" ht="16.5" x14ac:dyDescent="0.35">
      <c r="C130" s="292" t="s">
        <v>345</v>
      </c>
      <c r="D130" s="339">
        <f>D111</f>
        <v>0.10309278350515465</v>
      </c>
      <c r="E130" s="264" t="s">
        <v>324</v>
      </c>
      <c r="F130" s="64"/>
      <c r="G130" s="320"/>
      <c r="H130" s="320"/>
    </row>
    <row r="131" spans="3:8" x14ac:dyDescent="0.35">
      <c r="C131" s="292"/>
      <c r="D131" s="339">
        <f>E96</f>
        <v>8.2474226804123724E-2</v>
      </c>
      <c r="E131" s="264" t="s">
        <v>319</v>
      </c>
      <c r="F131" s="64"/>
      <c r="G131" s="320"/>
      <c r="H131" s="320"/>
    </row>
    <row r="132" spans="3:8" x14ac:dyDescent="0.35">
      <c r="C132" s="292"/>
      <c r="D132" s="135">
        <f>E97</f>
        <v>0.79</v>
      </c>
      <c r="E132" s="264" t="s">
        <v>319</v>
      </c>
      <c r="F132" s="64"/>
      <c r="G132" s="320"/>
      <c r="H132" s="320"/>
    </row>
    <row r="133" spans="3:8" ht="16.5" x14ac:dyDescent="0.35">
      <c r="C133" s="292" t="s">
        <v>340</v>
      </c>
      <c r="D133" s="339">
        <f>SUM(D131:D132)</f>
        <v>0.87247422680412379</v>
      </c>
      <c r="E133" s="264" t="s">
        <v>319</v>
      </c>
      <c r="F133" s="64"/>
      <c r="G133" s="320"/>
      <c r="H133" s="320"/>
    </row>
    <row r="134" spans="3:8" x14ac:dyDescent="0.35">
      <c r="C134" s="292"/>
      <c r="D134" s="385"/>
      <c r="E134" s="321"/>
      <c r="F134" s="64"/>
      <c r="G134" s="320"/>
      <c r="H134" s="320"/>
    </row>
    <row r="135" spans="3:8" ht="16.5" x14ac:dyDescent="0.35">
      <c r="C135" s="292" t="s">
        <v>341</v>
      </c>
      <c r="D135" s="135">
        <f>D99</f>
        <v>0.5</v>
      </c>
      <c r="E135" s="264" t="s">
        <v>174</v>
      </c>
      <c r="F135" s="64"/>
      <c r="G135" s="320"/>
      <c r="H135" s="320"/>
    </row>
    <row r="136" spans="3:8" ht="16.5" x14ac:dyDescent="0.35">
      <c r="C136" s="292" t="s">
        <v>342</v>
      </c>
      <c r="D136" s="135">
        <f>E99/D99</f>
        <v>0.9</v>
      </c>
      <c r="E136" s="264" t="s">
        <v>324</v>
      </c>
      <c r="F136" s="64"/>
      <c r="G136" s="320"/>
      <c r="H136" s="320"/>
    </row>
    <row r="137" spans="3:8" ht="16.5" x14ac:dyDescent="0.35">
      <c r="C137" s="293" t="s">
        <v>343</v>
      </c>
      <c r="D137" s="394">
        <f>D136*D135</f>
        <v>0.45</v>
      </c>
      <c r="E137" s="307" t="s">
        <v>319</v>
      </c>
      <c r="F137" s="64"/>
      <c r="G137" s="320"/>
      <c r="H137" s="320"/>
    </row>
    <row r="138" spans="3:8" x14ac:dyDescent="0.35">
      <c r="C138" s="344"/>
      <c r="D138" s="263"/>
      <c r="E138" s="265"/>
      <c r="F138" s="348"/>
      <c r="G138" s="305"/>
    </row>
    <row r="139" spans="3:8" x14ac:dyDescent="0.35">
      <c r="C139" s="305"/>
      <c r="D139" s="305"/>
      <c r="E139" s="305"/>
      <c r="F139" s="345"/>
      <c r="G139" s="305"/>
    </row>
    <row r="140" spans="3:8" x14ac:dyDescent="0.35">
      <c r="C140" s="331" t="s">
        <v>329</v>
      </c>
      <c r="D140" s="331"/>
      <c r="E140" s="331"/>
      <c r="F140" s="345"/>
      <c r="G140" s="305"/>
    </row>
    <row r="141" spans="3:8" ht="15" thickBot="1" x14ac:dyDescent="0.4">
      <c r="C141" s="311" t="s">
        <v>321</v>
      </c>
      <c r="D141" s="311" t="s">
        <v>322</v>
      </c>
      <c r="E141" s="312" t="s">
        <v>172</v>
      </c>
      <c r="G141" s="305"/>
    </row>
    <row r="142" spans="3:8" ht="17" thickTop="1" x14ac:dyDescent="0.35">
      <c r="C142" s="291" t="s">
        <v>355</v>
      </c>
      <c r="D142" s="395">
        <f>E100/D102</f>
        <v>3.1428571428571426E-3</v>
      </c>
      <c r="E142" s="304" t="s">
        <v>330</v>
      </c>
      <c r="G142" s="305"/>
    </row>
    <row r="143" spans="3:8" ht="16.5" x14ac:dyDescent="0.35">
      <c r="C143" s="292" t="s">
        <v>351</v>
      </c>
      <c r="D143" s="339">
        <f>D113*D121</f>
        <v>12.851428571428572</v>
      </c>
      <c r="E143" s="264" t="s">
        <v>319</v>
      </c>
      <c r="G143" s="305"/>
    </row>
    <row r="144" spans="3:8" ht="16.5" x14ac:dyDescent="0.35">
      <c r="C144" s="292" t="s">
        <v>352</v>
      </c>
      <c r="D144" s="396">
        <f>D113*D105</f>
        <v>7.4285714285714288E-2</v>
      </c>
      <c r="E144" s="264" t="s">
        <v>319</v>
      </c>
      <c r="G144" s="305"/>
    </row>
    <row r="145" spans="3:7" ht="16.5" x14ac:dyDescent="0.35">
      <c r="C145" s="292" t="s">
        <v>353</v>
      </c>
      <c r="D145" s="396">
        <f>D142*D121</f>
        <v>1.0874285714285713E-2</v>
      </c>
      <c r="E145" s="264" t="s">
        <v>319</v>
      </c>
      <c r="G145" s="305"/>
    </row>
    <row r="146" spans="3:7" ht="16.5" x14ac:dyDescent="0.35">
      <c r="C146" s="293" t="s">
        <v>354</v>
      </c>
      <c r="D146" s="397">
        <f>D142*D105</f>
        <v>6.2857142857142848E-5</v>
      </c>
      <c r="E146" s="307" t="s">
        <v>319</v>
      </c>
      <c r="G146" s="305"/>
    </row>
    <row r="147" spans="3:7" x14ac:dyDescent="0.35">
      <c r="C147" s="305"/>
      <c r="D147" s="263"/>
      <c r="E147" s="308"/>
      <c r="F147" s="263"/>
      <c r="G147" s="305"/>
    </row>
    <row r="148" spans="3:7" x14ac:dyDescent="0.35">
      <c r="C148" s="305"/>
      <c r="D148" s="263"/>
      <c r="E148" s="308"/>
      <c r="F148" s="263"/>
      <c r="G148" s="305"/>
    </row>
    <row r="149" spans="3:7" x14ac:dyDescent="0.35">
      <c r="C149" s="331" t="s">
        <v>331</v>
      </c>
      <c r="D149" s="331"/>
      <c r="E149" s="331"/>
      <c r="G149" s="305"/>
    </row>
    <row r="150" spans="3:7" ht="15" thickBot="1" x14ac:dyDescent="0.4">
      <c r="C150" s="311" t="s">
        <v>321</v>
      </c>
      <c r="D150" s="311" t="s">
        <v>322</v>
      </c>
      <c r="E150" s="312" t="s">
        <v>172</v>
      </c>
      <c r="G150" s="305"/>
    </row>
    <row r="151" spans="3:7" ht="17" thickTop="1" x14ac:dyDescent="0.35">
      <c r="C151" s="309" t="s">
        <v>356</v>
      </c>
      <c r="D151" s="398">
        <f>(D145*D143*D124)/(D121*(D143-D145)+D124*D145)</f>
        <v>9.0370071523444614E-3</v>
      </c>
      <c r="E151" s="304" t="s">
        <v>319</v>
      </c>
      <c r="G151" s="305"/>
    </row>
    <row r="152" spans="3:7" ht="16.5" x14ac:dyDescent="0.35">
      <c r="C152" s="310" t="s">
        <v>357</v>
      </c>
      <c r="D152" s="398">
        <f>(D146*D144*D124)/(D123*(D144-D146)+D124*D146)</f>
        <v>1.4441257473921541E-4</v>
      </c>
      <c r="E152" s="264" t="s">
        <v>319</v>
      </c>
      <c r="G152" s="305"/>
    </row>
    <row r="153" spans="3:7" ht="16.5" x14ac:dyDescent="0.35">
      <c r="C153" s="306" t="s">
        <v>358</v>
      </c>
      <c r="D153" s="339">
        <f>D133+D137+D143+2*D144</f>
        <v>14.322474226804125</v>
      </c>
      <c r="E153" s="264" t="s">
        <v>319</v>
      </c>
      <c r="G153" s="305"/>
    </row>
    <row r="154" spans="3:7" ht="16.5" x14ac:dyDescent="0.35">
      <c r="C154" s="306" t="s">
        <v>359</v>
      </c>
      <c r="D154" s="339">
        <f>D133+D137+D151+2*D152</f>
        <v>1.3318000591059467</v>
      </c>
      <c r="E154" s="264" t="s">
        <v>319</v>
      </c>
      <c r="G154" s="305"/>
    </row>
    <row r="155" spans="3:7" x14ac:dyDescent="0.35">
      <c r="C155" s="306" t="s">
        <v>332</v>
      </c>
      <c r="D155" s="339">
        <f>(D154*D153*D110)/(D124*(D153-D154)+D110*D154)</f>
        <v>5.2030415578197289</v>
      </c>
      <c r="E155" s="264" t="s">
        <v>319</v>
      </c>
      <c r="G155" s="305"/>
    </row>
    <row r="156" spans="3:7" x14ac:dyDescent="0.35">
      <c r="C156" s="322" t="s">
        <v>333</v>
      </c>
      <c r="D156" s="399">
        <f>1/D155</f>
        <v>0.19219527441542056</v>
      </c>
      <c r="E156" s="307" t="s">
        <v>319</v>
      </c>
      <c r="G156" s="305"/>
    </row>
    <row r="157" spans="3:7" x14ac:dyDescent="0.35">
      <c r="C157" s="305"/>
      <c r="D157" s="266"/>
      <c r="E157" s="308"/>
      <c r="F157" s="263"/>
    </row>
    <row r="158" spans="3:7" x14ac:dyDescent="0.35">
      <c r="C158" s="316" t="s">
        <v>162</v>
      </c>
      <c r="D158" s="228">
        <v>0.25</v>
      </c>
      <c r="E158" s="304" t="s">
        <v>319</v>
      </c>
      <c r="F158" s="263"/>
    </row>
    <row r="159" spans="3:7" x14ac:dyDescent="0.35">
      <c r="C159" s="306" t="str">
        <f>C155</f>
        <v>Assembly R-Value (without the air film resistances)</v>
      </c>
      <c r="D159" s="339">
        <f>D155</f>
        <v>5.2030415578197289</v>
      </c>
      <c r="E159" s="264" t="s">
        <v>319</v>
      </c>
      <c r="F159" s="263"/>
    </row>
    <row r="160" spans="3:7" x14ac:dyDescent="0.35">
      <c r="C160" s="306" t="s">
        <v>167</v>
      </c>
      <c r="D160" s="338">
        <v>0.68</v>
      </c>
      <c r="E160" s="264" t="s">
        <v>319</v>
      </c>
      <c r="F160" s="320"/>
    </row>
    <row r="161" spans="3:6" x14ac:dyDescent="0.35">
      <c r="C161" s="322" t="s">
        <v>160</v>
      </c>
      <c r="D161" s="399">
        <f>1/(D158+D159+D160)</f>
        <v>0.16305123494964477</v>
      </c>
      <c r="E161" s="307" t="s">
        <v>319</v>
      </c>
      <c r="F161" s="320"/>
    </row>
  </sheetData>
  <sheetProtection algorithmName="SHA-512" hashValue="S/zCOZdFh5cNmyk7YvPuSWQT2kc+PdNZOj+gp3lIprKvaocMH5DUiDMZOAREIkdue3v8cYp9d1GyKxTh0YhCoQ==" saltValue="KBFCnj9n9QZDOv1sEiJD8w==" spinCount="100000" sheet="1" objects="1" scenarios="1"/>
  <mergeCells count="14">
    <mergeCell ref="F65:H66"/>
    <mergeCell ref="O6:P6"/>
    <mergeCell ref="Q6:R6"/>
    <mergeCell ref="S6:T6"/>
    <mergeCell ref="K5:L5"/>
    <mergeCell ref="M5:N5"/>
    <mergeCell ref="O5:P5"/>
    <mergeCell ref="Q5:R5"/>
    <mergeCell ref="S5:T5"/>
    <mergeCell ref="D6:F6"/>
    <mergeCell ref="G6:H6"/>
    <mergeCell ref="I6:J6"/>
    <mergeCell ref="K6:L6"/>
    <mergeCell ref="M6:N6"/>
  </mergeCells>
  <dataValidations count="1">
    <dataValidation type="list" allowBlank="1" showInputMessage="1" showErrorMessage="1" sqref="F72 F88 F115">
      <formula1>UCalcMethod</formula1>
    </dataValidation>
  </dataValidations>
  <pageMargins left="0.7" right="0.7" top="0.75" bottom="0.75" header="0.3" footer="0.3"/>
  <pageSetup scale="33" fitToHeight="0" orientation="portrait" r:id="rId1"/>
  <rowBreaks count="1" manualBreakCount="1">
    <brk id="57"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43"/>
  <sheetViews>
    <sheetView zoomScaleNormal="100" workbookViewId="0">
      <selection activeCell="B2" sqref="B2"/>
    </sheetView>
  </sheetViews>
  <sheetFormatPr defaultRowHeight="14.5" x14ac:dyDescent="0.35"/>
  <cols>
    <col min="1" max="1" width="4.453125" customWidth="1"/>
    <col min="2" max="2" width="43.26953125" customWidth="1"/>
    <col min="3" max="4" width="21.26953125" customWidth="1"/>
    <col min="5" max="5" width="21" customWidth="1"/>
    <col min="6" max="6" width="20.1796875" customWidth="1"/>
    <col min="7" max="7" width="26.26953125" customWidth="1"/>
    <col min="8" max="8" width="26.26953125" hidden="1" customWidth="1"/>
    <col min="9" max="9" width="24.7265625" customWidth="1"/>
  </cols>
  <sheetData>
    <row r="1" spans="1:8" ht="7.5" customHeight="1" x14ac:dyDescent="0.35">
      <c r="A1" s="13"/>
      <c r="B1" s="13"/>
      <c r="C1" s="13"/>
      <c r="D1" s="13"/>
      <c r="E1" s="13"/>
      <c r="F1" s="13"/>
      <c r="G1" s="13"/>
    </row>
    <row r="3" spans="1:8" ht="34.5" customHeight="1" x14ac:dyDescent="0.35">
      <c r="B3" s="102" t="s">
        <v>25</v>
      </c>
      <c r="C3" s="102" t="s">
        <v>27</v>
      </c>
      <c r="D3" s="507" t="str">
        <f>IF(Instructions!D2="","Enter Vendor's Software Name In Instruction Sheet",Instructions!D2)</f>
        <v xml:space="preserve">EnergyGauge USA </v>
      </c>
      <c r="E3" s="507"/>
    </row>
    <row r="4" spans="1:8" ht="15" customHeight="1" x14ac:dyDescent="0.35">
      <c r="B4" s="32" t="str">
        <f>D_M03!B2</f>
        <v xml:space="preserve">Prescriptive Test: House M03 (Pr-M03) Characteristics – Location: Miami, Florida. </v>
      </c>
      <c r="C4" s="32"/>
      <c r="D4" s="32"/>
      <c r="E4" s="32"/>
    </row>
    <row r="5" spans="1:8" ht="15" customHeight="1" x14ac:dyDescent="0.35">
      <c r="B5" s="326" t="str">
        <f>D_M03!B3</f>
        <v xml:space="preserve">Single Family Detached Home with No Attached Garage, Single Story, Three bedroom. </v>
      </c>
      <c r="C5" s="32"/>
      <c r="D5" s="32"/>
      <c r="E5" s="32"/>
    </row>
    <row r="6" spans="1:8" x14ac:dyDescent="0.35">
      <c r="B6" s="4" t="s">
        <v>28</v>
      </c>
    </row>
    <row r="7" spans="1:8" x14ac:dyDescent="0.35">
      <c r="B7" s="1" t="s">
        <v>112</v>
      </c>
      <c r="C7" s="1"/>
      <c r="D7" s="8" t="s">
        <v>84</v>
      </c>
      <c r="E7" s="8"/>
    </row>
    <row r="8" spans="1:8" x14ac:dyDescent="0.35">
      <c r="B8" s="3" t="s">
        <v>113</v>
      </c>
      <c r="C8" s="3"/>
      <c r="D8" s="3"/>
    </row>
    <row r="9" spans="1:8" x14ac:dyDescent="0.35">
      <c r="B9" s="250" t="str">
        <f>D_M03!B4</f>
        <v>House Pr-M03</v>
      </c>
      <c r="C9" s="10" t="s">
        <v>242</v>
      </c>
      <c r="D9" s="116" t="s">
        <v>75</v>
      </c>
      <c r="E9" s="4"/>
    </row>
    <row r="10" spans="1:8" ht="15" thickBot="1" x14ac:dyDescent="0.4">
      <c r="C10" s="10" t="s">
        <v>86</v>
      </c>
      <c r="D10" s="10" t="s">
        <v>29</v>
      </c>
      <c r="E10" s="4"/>
    </row>
    <row r="11" spans="1:8" ht="15" thickBot="1" x14ac:dyDescent="0.4">
      <c r="B11" s="246" t="str">
        <f>D_M03!B8</f>
        <v>Slab-on-grade Floor</v>
      </c>
      <c r="C11" s="103" t="s">
        <v>93</v>
      </c>
      <c r="D11" s="105" t="str">
        <f>IF(C11="Complies","Pass","Fail")</f>
        <v>Pass</v>
      </c>
      <c r="E11" s="6"/>
      <c r="H11" s="9">
        <f t="shared" ref="H11:H23" si="0">IF(OR(D11="Not applicable",D11="Software Doesn't Check",D11="Pass"),0,1)</f>
        <v>0</v>
      </c>
    </row>
    <row r="12" spans="1:8" ht="15" thickBot="1" x14ac:dyDescent="0.4">
      <c r="B12" s="247" t="str">
        <f>D_M03!B9</f>
        <v>Roof – gable type- 5 in 12 slope No overhangs</v>
      </c>
      <c r="C12" s="103" t="s">
        <v>93</v>
      </c>
      <c r="D12" s="105" t="str">
        <f>IF(C12="Complies","Pass","Fail")</f>
        <v>Pass</v>
      </c>
      <c r="E12" s="6"/>
      <c r="H12" s="9">
        <f t="shared" si="0"/>
        <v>0</v>
      </c>
    </row>
    <row r="13" spans="1:8" ht="15" thickBot="1" x14ac:dyDescent="0.4">
      <c r="B13" s="247" t="str">
        <f>D_M03!B10</f>
        <v>Ceiling1 –flat under attic</v>
      </c>
      <c r="C13" s="103" t="s">
        <v>93</v>
      </c>
      <c r="D13" s="105" t="str">
        <f>IF(C13="Complies","Pass","Fail")</f>
        <v>Pass</v>
      </c>
      <c r="E13" s="6"/>
      <c r="H13" s="9">
        <f t="shared" si="0"/>
        <v>0</v>
      </c>
    </row>
    <row r="14" spans="1:8" ht="15" thickBot="1" x14ac:dyDescent="0.4">
      <c r="B14" s="247" t="str">
        <f>D_M03!B11</f>
        <v xml:space="preserve">        Skylight</v>
      </c>
      <c r="C14" s="103" t="s">
        <v>93</v>
      </c>
      <c r="D14" s="105" t="str">
        <f>IF(C14="Complies","Pass","Fail")</f>
        <v>Pass</v>
      </c>
      <c r="E14" s="6"/>
      <c r="H14" s="9">
        <f t="shared" si="0"/>
        <v>0</v>
      </c>
    </row>
    <row r="15" spans="1:8" ht="15" thickBot="1" x14ac:dyDescent="0.4">
      <c r="B15" s="247" t="str">
        <f>D_M03!B12</f>
        <v>Wall 1 –faces North, insulated core CBS2</v>
      </c>
      <c r="C15" s="103" t="s">
        <v>93</v>
      </c>
      <c r="D15" s="105" t="str">
        <f>IF(C15="Complies","Pass","Fail")</f>
        <v>Pass</v>
      </c>
      <c r="E15" s="6"/>
      <c r="H15" s="9">
        <f t="shared" si="0"/>
        <v>0</v>
      </c>
    </row>
    <row r="16" spans="1:8" ht="15" thickBot="1" x14ac:dyDescent="0.4">
      <c r="B16" s="247" t="str">
        <f>D_M03!B13</f>
        <v xml:space="preserve">        Door 1 - </v>
      </c>
      <c r="C16" s="106" t="s">
        <v>63</v>
      </c>
      <c r="D16" s="105" t="s">
        <v>63</v>
      </c>
      <c r="E16" s="6"/>
      <c r="H16" s="9">
        <f t="shared" si="0"/>
        <v>0</v>
      </c>
    </row>
    <row r="17" spans="2:8" ht="15" thickBot="1" x14ac:dyDescent="0.4">
      <c r="B17" s="247" t="str">
        <f>D_M03!B14</f>
        <v xml:space="preserve">        Window 1 – Vinyl Frame Low-e Double</v>
      </c>
      <c r="C17" s="106" t="s">
        <v>63</v>
      </c>
      <c r="D17" s="105" t="s">
        <v>63</v>
      </c>
      <c r="E17" s="6"/>
      <c r="H17" s="9">
        <f t="shared" si="0"/>
        <v>0</v>
      </c>
    </row>
    <row r="18" spans="2:8" ht="15" thickBot="1" x14ac:dyDescent="0.4">
      <c r="B18" s="247" t="str">
        <f>D_M03!B15</f>
        <v>Wall 2 –faces East, insulated core CBS</v>
      </c>
      <c r="C18" s="103" t="s">
        <v>93</v>
      </c>
      <c r="D18" s="105" t="str">
        <f>IF(C18="Complies","Pass","Fail")</f>
        <v>Pass</v>
      </c>
      <c r="E18" s="6"/>
      <c r="H18" s="9">
        <f t="shared" si="0"/>
        <v>0</v>
      </c>
    </row>
    <row r="19" spans="2:8" ht="15" thickBot="1" x14ac:dyDescent="0.4">
      <c r="B19" s="247" t="str">
        <f>D_M03!B16</f>
        <v xml:space="preserve">        Window 2 – Vinyl Frame Low-e Double</v>
      </c>
      <c r="C19" s="106" t="s">
        <v>63</v>
      </c>
      <c r="D19" s="105" t="s">
        <v>63</v>
      </c>
      <c r="E19" s="6"/>
      <c r="H19" s="9">
        <f t="shared" si="0"/>
        <v>0</v>
      </c>
    </row>
    <row r="20" spans="2:8" ht="15" thickBot="1" x14ac:dyDescent="0.4">
      <c r="B20" s="247" t="str">
        <f>D_M03!B17</f>
        <v>Wall 3 –faces South,  insulated core CBS</v>
      </c>
      <c r="C20" s="103" t="s">
        <v>93</v>
      </c>
      <c r="D20" s="105" t="str">
        <f>IF(C20="Complies","Pass","Fail")</f>
        <v>Pass</v>
      </c>
      <c r="E20" s="6"/>
      <c r="H20" s="9">
        <f t="shared" si="0"/>
        <v>0</v>
      </c>
    </row>
    <row r="21" spans="2:8" ht="15" thickBot="1" x14ac:dyDescent="0.4">
      <c r="B21" s="247" t="str">
        <f>D_M03!B18</f>
        <v xml:space="preserve">        Window 3 – Vinyl Frame Low-e Double</v>
      </c>
      <c r="C21" s="106" t="s">
        <v>63</v>
      </c>
      <c r="D21" s="105" t="s">
        <v>63</v>
      </c>
      <c r="E21" s="6"/>
      <c r="H21" s="9">
        <f t="shared" si="0"/>
        <v>0</v>
      </c>
    </row>
    <row r="22" spans="2:8" ht="15" thickBot="1" x14ac:dyDescent="0.4">
      <c r="B22" s="247" t="str">
        <f>D_M03!B19</f>
        <v>Wall 4 –faces South, Wood3 2x4 Stud</v>
      </c>
      <c r="C22" s="103" t="s">
        <v>93</v>
      </c>
      <c r="D22" s="105" t="str">
        <f>IF(C22="Complies","Pass","Fail")</f>
        <v>Pass</v>
      </c>
      <c r="E22" s="6"/>
      <c r="H22" s="9">
        <f t="shared" si="0"/>
        <v>0</v>
      </c>
    </row>
    <row r="23" spans="2:8" ht="15" thickBot="1" x14ac:dyDescent="0.4">
      <c r="B23" s="247" t="str">
        <f>D_M03!B20</f>
        <v xml:space="preserve">        Window 4 – Vinyl Frame  Low-e Double</v>
      </c>
      <c r="C23" s="106" t="s">
        <v>63</v>
      </c>
      <c r="D23" s="105" t="s">
        <v>63</v>
      </c>
      <c r="E23" s="6"/>
      <c r="H23" s="9">
        <f t="shared" si="0"/>
        <v>0</v>
      </c>
    </row>
    <row r="24" spans="2:8" ht="15" thickBot="1" x14ac:dyDescent="0.4">
      <c r="B24" s="247" t="str">
        <f>D_M03!B21</f>
        <v>Wall 5 –faces West,  insulated core CBS</v>
      </c>
      <c r="C24" s="103" t="s">
        <v>93</v>
      </c>
      <c r="D24" s="105" t="str">
        <f>IF(C24="Complies","Pass","Fail")</f>
        <v>Pass</v>
      </c>
      <c r="E24" s="6"/>
      <c r="H24" s="9">
        <f>IF(OR(D24="Not applicable",D24="Software Doesn't Check",D24="Pass"),0,1)</f>
        <v>0</v>
      </c>
    </row>
    <row r="25" spans="2:8" ht="15" thickBot="1" x14ac:dyDescent="0.4">
      <c r="B25" s="247" t="str">
        <f>D_M03!B22</f>
        <v xml:space="preserve">        Window 5 – Vinyl Frame Low-e Double</v>
      </c>
      <c r="C25" s="107" t="s">
        <v>63</v>
      </c>
      <c r="D25" s="105" t="s">
        <v>63</v>
      </c>
      <c r="E25" s="6"/>
      <c r="H25" s="9">
        <f t="shared" ref="H25:H46" si="1">IF(OR(D25="Not applicable",D25="Software Doesn't Check",D25="Pass"),0,1)</f>
        <v>0</v>
      </c>
    </row>
    <row r="26" spans="2:8" ht="15" thickBot="1" x14ac:dyDescent="0.4">
      <c r="B26" s="247" t="str">
        <f>D_M03!B23</f>
        <v>Infiltration</v>
      </c>
      <c r="C26" s="108" t="s">
        <v>93</v>
      </c>
      <c r="D26" s="105" t="str">
        <f>IF(C26="Complies","Pass",IF(C26="Not part of software","Software Doesn't Check","Fail"))</f>
        <v>Pass</v>
      </c>
      <c r="E26" s="6"/>
      <c r="H26" s="9">
        <f t="shared" si="1"/>
        <v>0</v>
      </c>
    </row>
    <row r="27" spans="2:8" ht="15" thickBot="1" x14ac:dyDescent="0.4">
      <c r="B27" s="247" t="str">
        <f>D_M03!B24</f>
        <v>Heating – heat pump</v>
      </c>
      <c r="C27" s="109" t="s">
        <v>93</v>
      </c>
      <c r="D27" s="105" t="str">
        <f>IF(C27="Complies","Pass",IF(C27="Not part of software","Software Doesn't Check","Fail"))</f>
        <v>Pass</v>
      </c>
      <c r="E27" s="6"/>
      <c r="H27" s="9">
        <f t="shared" si="1"/>
        <v>0</v>
      </c>
    </row>
    <row r="28" spans="2:8" ht="15" thickBot="1" x14ac:dyDescent="0.4">
      <c r="B28" s="247" t="str">
        <f>D_M03!B25</f>
        <v>Cooling – heat pump</v>
      </c>
      <c r="C28" s="103" t="s">
        <v>93</v>
      </c>
      <c r="D28" s="105" t="str">
        <f>IF(C28="Complies","Pass",IF(C28="Not part of software","Software Doesn't Check","Fail"))</f>
        <v>Pass</v>
      </c>
      <c r="E28" s="6"/>
      <c r="H28" s="9">
        <f t="shared" si="1"/>
        <v>0</v>
      </c>
    </row>
    <row r="29" spans="2:8" ht="15" thickBot="1" x14ac:dyDescent="0.4">
      <c r="B29" s="247" t="str">
        <f>D_M03!B26</f>
        <v>Ducts – supply in attic</v>
      </c>
      <c r="C29" s="103" t="s">
        <v>32</v>
      </c>
      <c r="D29" s="105" t="str">
        <f>IF(C29="R-Value too low","Pass",IF(C29="Not part of software","Software Doesn't Check","Fail"))</f>
        <v>Pass</v>
      </c>
      <c r="E29" s="6"/>
      <c r="H29" s="9">
        <f t="shared" si="1"/>
        <v>0</v>
      </c>
    </row>
    <row r="30" spans="2:8" ht="15" thickBot="1" x14ac:dyDescent="0.4">
      <c r="B30" s="247" t="str">
        <f>D_M03!B27</f>
        <v>Ducts – Return in Conditioned Space</v>
      </c>
      <c r="C30" s="103" t="s">
        <v>93</v>
      </c>
      <c r="D30" s="105" t="str">
        <f t="shared" ref="D30:D38" si="2">IF(C30="Complies","Pass",IF(C30="Not part of software","Software Doesn't Check","Fail"))</f>
        <v>Pass</v>
      </c>
      <c r="E30" s="6"/>
      <c r="H30" s="9">
        <f t="shared" si="1"/>
        <v>0</v>
      </c>
    </row>
    <row r="31" spans="2:8" ht="15" thickBot="1" x14ac:dyDescent="0.4">
      <c r="B31" s="247" t="str">
        <f>D_M03!B28</f>
        <v>Duct Tightness</v>
      </c>
      <c r="C31" s="103" t="s">
        <v>93</v>
      </c>
      <c r="D31" s="105" t="str">
        <f t="shared" si="2"/>
        <v>Pass</v>
      </c>
      <c r="E31" s="6"/>
      <c r="H31" s="9">
        <f t="shared" si="1"/>
        <v>0</v>
      </c>
    </row>
    <row r="32" spans="2:8" ht="15" thickBot="1" x14ac:dyDescent="0.4">
      <c r="B32" s="247" t="str">
        <f>D_M03!B29</f>
        <v>Air Handler – in Conditioned Space</v>
      </c>
      <c r="C32" s="103" t="s">
        <v>93</v>
      </c>
      <c r="D32" s="105" t="str">
        <f t="shared" si="2"/>
        <v>Pass</v>
      </c>
      <c r="E32" s="6"/>
      <c r="H32" s="9">
        <f t="shared" si="1"/>
        <v>0</v>
      </c>
    </row>
    <row r="33" spans="1:8" ht="15" thickBot="1" x14ac:dyDescent="0.4">
      <c r="B33" s="247" t="str">
        <f>D_M03!B30</f>
        <v>Mechanical Ventilation</v>
      </c>
      <c r="C33" s="103" t="s">
        <v>93</v>
      </c>
      <c r="D33" s="105" t="str">
        <f t="shared" si="2"/>
        <v>Pass</v>
      </c>
      <c r="E33" s="6"/>
      <c r="H33" s="9">
        <f t="shared" si="1"/>
        <v>0</v>
      </c>
    </row>
    <row r="34" spans="1:8" ht="15" thickBot="1" x14ac:dyDescent="0.4">
      <c r="B34" s="247" t="str">
        <f>D_M03!B31</f>
        <v>Hot Water System - electric</v>
      </c>
      <c r="C34" s="103" t="s">
        <v>93</v>
      </c>
      <c r="D34" s="105" t="str">
        <f t="shared" si="2"/>
        <v>Pass</v>
      </c>
      <c r="E34" s="6"/>
      <c r="H34" s="9">
        <f t="shared" si="1"/>
        <v>0</v>
      </c>
    </row>
    <row r="35" spans="1:8" ht="15" thickBot="1" x14ac:dyDescent="0.4">
      <c r="B35" s="247" t="str">
        <f>D_M03!B32</f>
        <v>All Hot Water Lines</v>
      </c>
      <c r="C35" s="103" t="s">
        <v>56</v>
      </c>
      <c r="D35" s="105" t="str">
        <f t="shared" si="2"/>
        <v>Software Doesn't Check</v>
      </c>
      <c r="E35" s="6"/>
      <c r="H35" s="9">
        <f t="shared" si="1"/>
        <v>0</v>
      </c>
    </row>
    <row r="36" spans="1:8" ht="15" thickBot="1" x14ac:dyDescent="0.4">
      <c r="B36" s="247" t="str">
        <f>D_M03!B33</f>
        <v>Hot Water Circulation -none</v>
      </c>
      <c r="C36" s="103" t="s">
        <v>56</v>
      </c>
      <c r="D36" s="105" t="str">
        <f t="shared" si="2"/>
        <v>Software Doesn't Check</v>
      </c>
      <c r="E36" s="6"/>
      <c r="H36" s="9">
        <f t="shared" si="1"/>
        <v>0</v>
      </c>
    </row>
    <row r="37" spans="1:8" ht="15" thickBot="1" x14ac:dyDescent="0.4">
      <c r="B37" s="247" t="str">
        <f>D_M03!B34</f>
        <v>Lighting</v>
      </c>
      <c r="C37" s="103" t="s">
        <v>93</v>
      </c>
      <c r="D37" s="105" t="str">
        <f t="shared" si="2"/>
        <v>Pass</v>
      </c>
      <c r="E37" s="6"/>
      <c r="H37" s="9">
        <f t="shared" si="1"/>
        <v>0</v>
      </c>
    </row>
    <row r="38" spans="1:8" ht="15" thickBot="1" x14ac:dyDescent="0.4">
      <c r="B38" s="247" t="str">
        <f>D_M03!B35</f>
        <v>Pool and Spa - none</v>
      </c>
      <c r="C38" s="103" t="s">
        <v>56</v>
      </c>
      <c r="D38" s="105" t="str">
        <f t="shared" si="2"/>
        <v>Software Doesn't Check</v>
      </c>
      <c r="E38" s="6"/>
      <c r="H38" s="9">
        <f t="shared" si="1"/>
        <v>0</v>
      </c>
    </row>
    <row r="39" spans="1:8" ht="16.5" customHeight="1" thickBot="1" x14ac:dyDescent="0.4">
      <c r="B39" s="247" t="str">
        <f>D_M03!B38</f>
        <v>Area Weighted Fenestration U-Factor Value</v>
      </c>
      <c r="C39" s="104">
        <v>0.65300000000000002</v>
      </c>
      <c r="D39" s="105" t="str">
        <f>IF(C39&gt;UA_M03!M27,IF(C39&lt;=UA_M03!M28,"Pass","Fail"),"Fail")</f>
        <v>Pass</v>
      </c>
      <c r="E39" s="7"/>
      <c r="H39" s="9">
        <f t="shared" si="1"/>
        <v>0</v>
      </c>
    </row>
    <row r="40" spans="1:8" ht="16.5" customHeight="1" thickBot="1" x14ac:dyDescent="0.4">
      <c r="B40" s="248" t="str">
        <f>D_M03!B39</f>
        <v>Area Weighted Fenestration SHGC Value</v>
      </c>
      <c r="C40" s="103">
        <v>0.25</v>
      </c>
      <c r="D40" s="105" t="str">
        <f>IF(C40&gt;UA_M03!Q27,IF(C40&lt;=UA_M03!Q28,"Pass","Fail"),"Fail")</f>
        <v>Pass</v>
      </c>
      <c r="E40" s="7"/>
      <c r="H40" s="9">
        <f t="shared" si="1"/>
        <v>0</v>
      </c>
    </row>
    <row r="41" spans="1:8" ht="16.5" customHeight="1" thickBot="1" x14ac:dyDescent="0.4">
      <c r="B41" s="248" t="str">
        <f>D_M03!B40</f>
        <v>Total Thermal Envelope UA Value</v>
      </c>
      <c r="C41" s="110" t="s">
        <v>63</v>
      </c>
      <c r="D41" s="105" t="str">
        <f>IF(C41="Complies","Not applicable",IF(C41="Not applicable","Not applicable","Fail"))</f>
        <v>Not applicable</v>
      </c>
      <c r="E41" s="7"/>
      <c r="H41" s="9">
        <f t="shared" si="1"/>
        <v>0</v>
      </c>
    </row>
    <row r="42" spans="1:8" ht="16.5" customHeight="1" thickBot="1" x14ac:dyDescent="0.4">
      <c r="B42" s="248" t="str">
        <f>D_M03!B41</f>
        <v>Area Weighted Fenestration U-Factor Result</v>
      </c>
      <c r="C42" s="103" t="s">
        <v>93</v>
      </c>
      <c r="D42" s="105" t="str">
        <f>IF(C42="Complies","Pass","Fail")</f>
        <v>Pass</v>
      </c>
      <c r="E42" s="6"/>
      <c r="H42" s="9">
        <f t="shared" si="1"/>
        <v>0</v>
      </c>
    </row>
    <row r="43" spans="1:8" ht="16.5" customHeight="1" thickBot="1" x14ac:dyDescent="0.4">
      <c r="B43" s="248" t="str">
        <f>D_M03!B42</f>
        <v>Area Weighted Fenestration SHGC Result</v>
      </c>
      <c r="C43" s="103" t="s">
        <v>93</v>
      </c>
      <c r="D43" s="105" t="str">
        <f>IF(C43="Complies","Pass","Fail")</f>
        <v>Pass</v>
      </c>
      <c r="E43" s="6"/>
      <c r="H43" s="9">
        <f t="shared" si="1"/>
        <v>0</v>
      </c>
    </row>
    <row r="44" spans="1:8" ht="16.5" customHeight="1" thickBot="1" x14ac:dyDescent="0.4">
      <c r="B44" s="248" t="str">
        <f>D_M03!B43</f>
        <v>Baseline Thermal Envelope UA Value</v>
      </c>
      <c r="C44" s="111" t="s">
        <v>63</v>
      </c>
      <c r="D44" s="105" t="str">
        <f>IF(C44="Complies","Not applicable",IF(C44="Not applicable","Not applicable","Fail"))</f>
        <v>Not applicable</v>
      </c>
      <c r="E44" s="6"/>
      <c r="H44" s="9">
        <f t="shared" si="1"/>
        <v>0</v>
      </c>
    </row>
    <row r="45" spans="1:8" ht="16.5" customHeight="1" thickBot="1" x14ac:dyDescent="0.4">
      <c r="B45" s="248" t="str">
        <f>D_M03!B44</f>
        <v>Total Thermal Envelope UA Result</v>
      </c>
      <c r="C45" s="111" t="s">
        <v>63</v>
      </c>
      <c r="D45" s="105" t="str">
        <f>IF(C45="Complies","Not applicable",IF(C45="Not applicable","Not applicable","Fail"))</f>
        <v>Not applicable</v>
      </c>
      <c r="H45" s="9">
        <f t="shared" si="1"/>
        <v>0</v>
      </c>
    </row>
    <row r="46" spans="1:8" ht="16.5" customHeight="1" thickBot="1" x14ac:dyDescent="0.4">
      <c r="B46" s="248" t="str">
        <f>D_M03!B45</f>
        <v>House Complies?</v>
      </c>
      <c r="C46" s="103" t="s">
        <v>120</v>
      </c>
      <c r="D46" s="105" t="str">
        <f>IF(C46="No","Pass","Fail")</f>
        <v>Pass</v>
      </c>
      <c r="H46" s="9">
        <f t="shared" si="1"/>
        <v>0</v>
      </c>
    </row>
    <row r="47" spans="1:8" ht="21.65" customHeight="1" x14ac:dyDescent="0.6">
      <c r="B47" s="19"/>
      <c r="C47" s="15" t="s">
        <v>94</v>
      </c>
      <c r="D47" s="16" t="str">
        <f>IF(H47&gt;0,"FAIL","PASS")</f>
        <v>PASS</v>
      </c>
      <c r="H47">
        <f xml:space="preserve"> SUM(H11:H46)</f>
        <v>0</v>
      </c>
    </row>
    <row r="48" spans="1:8" ht="7.9" customHeight="1" x14ac:dyDescent="0.35">
      <c r="A48" s="13"/>
      <c r="B48" s="20"/>
      <c r="C48" s="17"/>
      <c r="D48" s="18"/>
      <c r="E48" s="13"/>
      <c r="F48" s="13"/>
      <c r="G48" s="13"/>
    </row>
    <row r="50" spans="2:8" ht="32.25" customHeight="1" x14ac:dyDescent="0.35">
      <c r="B50" s="115" t="s">
        <v>25</v>
      </c>
      <c r="C50" s="102" t="s">
        <v>27</v>
      </c>
      <c r="D50" s="507" t="str">
        <f>IF(Instructions!D2="","Enter Vendor's Software Name In Instruction Sheet",Instructions!D2)</f>
        <v xml:space="preserve">EnergyGauge USA </v>
      </c>
      <c r="E50" s="507"/>
    </row>
    <row r="51" spans="2:8" x14ac:dyDescent="0.35">
      <c r="B51" s="22" t="s">
        <v>79</v>
      </c>
      <c r="E51" s="26"/>
    </row>
    <row r="52" spans="2:8" x14ac:dyDescent="0.35">
      <c r="B52" s="30" t="s">
        <v>112</v>
      </c>
      <c r="C52" s="1"/>
      <c r="D52" s="8" t="s">
        <v>84</v>
      </c>
      <c r="E52" s="28"/>
    </row>
    <row r="53" spans="2:8" x14ac:dyDescent="0.35">
      <c r="B53" s="31" t="s">
        <v>113</v>
      </c>
      <c r="C53" s="3"/>
      <c r="D53" s="3"/>
      <c r="E53" s="26"/>
    </row>
    <row r="54" spans="2:8" x14ac:dyDescent="0.35">
      <c r="B54" s="250" t="str">
        <f>D_M03!B4</f>
        <v>House Pr-M03</v>
      </c>
      <c r="C54" s="10" t="s">
        <v>77</v>
      </c>
      <c r="D54" s="10"/>
      <c r="E54" s="29" t="s">
        <v>243</v>
      </c>
      <c r="F54" s="116" t="s">
        <v>88</v>
      </c>
    </row>
    <row r="55" spans="2:8" ht="15" thickBot="1" x14ac:dyDescent="0.4">
      <c r="B55" s="19"/>
      <c r="C55" s="10" t="s">
        <v>87</v>
      </c>
      <c r="D55" s="10" t="s">
        <v>77</v>
      </c>
      <c r="E55" s="29" t="s">
        <v>86</v>
      </c>
      <c r="F55" s="116" t="s">
        <v>90</v>
      </c>
    </row>
    <row r="56" spans="2:8" ht="15" thickBot="1" x14ac:dyDescent="0.4">
      <c r="B56" s="246" t="str">
        <f>D_M03!B8</f>
        <v>Slab-on-grade Floor</v>
      </c>
      <c r="C56" s="106"/>
      <c r="D56" s="106"/>
      <c r="E56" s="110" t="s">
        <v>63</v>
      </c>
      <c r="F56" s="105" t="s">
        <v>63</v>
      </c>
      <c r="H56" s="9">
        <f t="shared" ref="H56:H91" si="3">IF(OR(F56="Not applicable",F56="Software Doesn't Check",F56="Pass"),0,1)</f>
        <v>0</v>
      </c>
    </row>
    <row r="57" spans="2:8" ht="15" thickBot="1" x14ac:dyDescent="0.4">
      <c r="B57" s="247" t="str">
        <f>D_M03!B9</f>
        <v>Roof – gable type- 5 in 12 slope No overhangs</v>
      </c>
      <c r="C57" s="106"/>
      <c r="D57" s="106"/>
      <c r="E57" s="110" t="s">
        <v>63</v>
      </c>
      <c r="F57" s="105" t="s">
        <v>63</v>
      </c>
      <c r="H57" s="9">
        <f t="shared" si="3"/>
        <v>0</v>
      </c>
    </row>
    <row r="58" spans="2:8" ht="15" thickBot="1" x14ac:dyDescent="0.4">
      <c r="B58" s="247" t="str">
        <f>D_M03!B10</f>
        <v>Ceiling1 –flat under attic</v>
      </c>
      <c r="C58" s="103" t="s">
        <v>118</v>
      </c>
      <c r="D58" s="103">
        <v>3.9E-2</v>
      </c>
      <c r="E58" s="110" t="s">
        <v>63</v>
      </c>
      <c r="F58" s="105" t="s">
        <v>63</v>
      </c>
      <c r="H58" s="9">
        <f t="shared" si="3"/>
        <v>0</v>
      </c>
    </row>
    <row r="59" spans="2:8" ht="15" thickBot="1" x14ac:dyDescent="0.4">
      <c r="B59" s="247" t="str">
        <f>D_M03!B11</f>
        <v xml:space="preserve">        Skylight</v>
      </c>
      <c r="C59" s="110"/>
      <c r="D59" s="217">
        <f>D_M03!E11</f>
        <v>0.75</v>
      </c>
      <c r="E59" s="103" t="s">
        <v>93</v>
      </c>
      <c r="F59" s="105" t="str">
        <f>IF(E59="Complies","Pass","Fail")</f>
        <v>Pass</v>
      </c>
      <c r="H59" s="9">
        <f t="shared" si="3"/>
        <v>0</v>
      </c>
    </row>
    <row r="60" spans="2:8" ht="15" thickBot="1" x14ac:dyDescent="0.4">
      <c r="B60" s="247" t="str">
        <f>D_M03!B12</f>
        <v>Wall 1 –faces North, insulated core CBS2</v>
      </c>
      <c r="C60" s="103" t="s">
        <v>118</v>
      </c>
      <c r="D60" s="103">
        <v>0.104</v>
      </c>
      <c r="E60" s="110" t="s">
        <v>63</v>
      </c>
      <c r="F60" s="105" t="s">
        <v>63</v>
      </c>
      <c r="H60" s="9">
        <f t="shared" si="3"/>
        <v>0</v>
      </c>
    </row>
    <row r="61" spans="2:8" ht="15" thickBot="1" x14ac:dyDescent="0.4">
      <c r="B61" s="247" t="str">
        <f>D_M03!B13</f>
        <v xml:space="preserve">        Door 1 - </v>
      </c>
      <c r="C61" s="110"/>
      <c r="D61" s="217">
        <f>D_M03!E13</f>
        <v>0.65</v>
      </c>
      <c r="E61" s="110" t="s">
        <v>63</v>
      </c>
      <c r="F61" s="105" t="s">
        <v>63</v>
      </c>
      <c r="H61" s="9">
        <f t="shared" si="3"/>
        <v>0</v>
      </c>
    </row>
    <row r="62" spans="2:8" ht="15" thickBot="1" x14ac:dyDescent="0.4">
      <c r="B62" s="247" t="str">
        <f>D_M03!B14</f>
        <v xml:space="preserve">        Window 1 – Vinyl Frame Low-e Double</v>
      </c>
      <c r="C62" s="110"/>
      <c r="D62" s="217">
        <f>D_M03!E14</f>
        <v>0.65</v>
      </c>
      <c r="E62" s="110" t="s">
        <v>63</v>
      </c>
      <c r="F62" s="105" t="s">
        <v>63</v>
      </c>
      <c r="H62" s="9">
        <f t="shared" si="3"/>
        <v>0</v>
      </c>
    </row>
    <row r="63" spans="2:8" ht="15" thickBot="1" x14ac:dyDescent="0.4">
      <c r="B63" s="247" t="str">
        <f>D_M03!B15</f>
        <v>Wall 2 –faces East, insulated core CBS</v>
      </c>
      <c r="C63" s="103" t="s">
        <v>118</v>
      </c>
      <c r="D63" s="103">
        <v>0.104</v>
      </c>
      <c r="E63" s="110" t="s">
        <v>63</v>
      </c>
      <c r="F63" s="105" t="s">
        <v>63</v>
      </c>
      <c r="H63" s="9">
        <f t="shared" si="3"/>
        <v>0</v>
      </c>
    </row>
    <row r="64" spans="2:8" ht="15" thickBot="1" x14ac:dyDescent="0.4">
      <c r="B64" s="247" t="str">
        <f>D_M03!B16</f>
        <v xml:space="preserve">        Window 2 – Vinyl Frame Low-e Double</v>
      </c>
      <c r="C64" s="110"/>
      <c r="D64" s="217">
        <f>D_M03!E16</f>
        <v>0.65</v>
      </c>
      <c r="E64" s="110" t="s">
        <v>63</v>
      </c>
      <c r="F64" s="105" t="s">
        <v>63</v>
      </c>
      <c r="H64" s="9">
        <f t="shared" si="3"/>
        <v>0</v>
      </c>
    </row>
    <row r="65" spans="2:8" ht="15" thickBot="1" x14ac:dyDescent="0.4">
      <c r="B65" s="247" t="str">
        <f>D_M03!B17</f>
        <v>Wall 3 –faces South,  insulated core CBS</v>
      </c>
      <c r="C65" s="103" t="s">
        <v>118</v>
      </c>
      <c r="D65" s="103">
        <v>0.104</v>
      </c>
      <c r="E65" s="110" t="s">
        <v>63</v>
      </c>
      <c r="F65" s="105" t="s">
        <v>63</v>
      </c>
      <c r="H65" s="9">
        <f t="shared" si="3"/>
        <v>0</v>
      </c>
    </row>
    <row r="66" spans="2:8" ht="15" thickBot="1" x14ac:dyDescent="0.4">
      <c r="B66" s="247" t="str">
        <f>D_M03!B18</f>
        <v xml:space="preserve">        Window 3 – Vinyl Frame Low-e Double</v>
      </c>
      <c r="C66" s="110"/>
      <c r="D66" s="217">
        <f>D_M03!E18</f>
        <v>0.65</v>
      </c>
      <c r="E66" s="110" t="s">
        <v>63</v>
      </c>
      <c r="F66" s="105" t="s">
        <v>63</v>
      </c>
      <c r="H66" s="9">
        <f t="shared" si="3"/>
        <v>0</v>
      </c>
    </row>
    <row r="67" spans="2:8" ht="15" thickBot="1" x14ac:dyDescent="0.4">
      <c r="B67" s="247" t="str">
        <f>D_M03!B19</f>
        <v>Wall 4 –faces South, Wood3 2x4 Stud</v>
      </c>
      <c r="C67" s="103" t="s">
        <v>83</v>
      </c>
      <c r="D67" s="103">
        <v>8.5999999999999993E-2</v>
      </c>
      <c r="E67" s="110" t="s">
        <v>63</v>
      </c>
      <c r="F67" s="105" t="s">
        <v>63</v>
      </c>
      <c r="H67" s="9">
        <f t="shared" si="3"/>
        <v>0</v>
      </c>
    </row>
    <row r="68" spans="2:8" ht="15" thickBot="1" x14ac:dyDescent="0.4">
      <c r="B68" s="247" t="str">
        <f>D_M03!B20</f>
        <v xml:space="preserve">        Window 4 – Vinyl Frame  Low-e Double</v>
      </c>
      <c r="C68" s="110"/>
      <c r="D68" s="217">
        <f>D_M03!E20</f>
        <v>0.65</v>
      </c>
      <c r="E68" s="110" t="s">
        <v>63</v>
      </c>
      <c r="F68" s="105" t="s">
        <v>63</v>
      </c>
      <c r="H68" s="9">
        <f t="shared" si="3"/>
        <v>0</v>
      </c>
    </row>
    <row r="69" spans="2:8" ht="15" thickBot="1" x14ac:dyDescent="0.4">
      <c r="B69" s="247" t="str">
        <f>D_M03!B21</f>
        <v>Wall 5 –faces West,  insulated core CBS</v>
      </c>
      <c r="C69" s="103" t="s">
        <v>118</v>
      </c>
      <c r="D69" s="103">
        <v>0.104</v>
      </c>
      <c r="E69" s="110" t="s">
        <v>63</v>
      </c>
      <c r="F69" s="105" t="s">
        <v>63</v>
      </c>
      <c r="H69" s="9">
        <f t="shared" si="3"/>
        <v>0</v>
      </c>
    </row>
    <row r="70" spans="2:8" ht="15" thickBot="1" x14ac:dyDescent="0.4">
      <c r="B70" s="247" t="str">
        <f>D_M03!B22</f>
        <v xml:space="preserve">        Window 5 – Vinyl Frame Low-e Double</v>
      </c>
      <c r="C70" s="106"/>
      <c r="D70" s="216">
        <f>D_M03!E22</f>
        <v>0.65</v>
      </c>
      <c r="E70" s="110" t="s">
        <v>63</v>
      </c>
      <c r="F70" s="105" t="s">
        <v>63</v>
      </c>
      <c r="H70" s="9">
        <f t="shared" si="3"/>
        <v>0</v>
      </c>
    </row>
    <row r="71" spans="2:8" ht="15" thickBot="1" x14ac:dyDescent="0.4">
      <c r="B71" s="247" t="str">
        <f>D_M03!B23</f>
        <v>Infiltration</v>
      </c>
      <c r="C71" s="106"/>
      <c r="D71" s="106"/>
      <c r="E71" s="112" t="s">
        <v>93</v>
      </c>
      <c r="F71" s="105" t="str">
        <f>IF(E71="Complies","Pass",IF(E71="Not part of software","Software Doesn't Check","Fail"))</f>
        <v>Pass</v>
      </c>
      <c r="H71" s="9">
        <f t="shared" si="3"/>
        <v>0</v>
      </c>
    </row>
    <row r="72" spans="2:8" ht="15" thickBot="1" x14ac:dyDescent="0.4">
      <c r="B72" s="247" t="str">
        <f>D_M03!B24</f>
        <v>Heating – heat pump</v>
      </c>
      <c r="C72" s="106"/>
      <c r="D72" s="106"/>
      <c r="E72" s="109" t="s">
        <v>93</v>
      </c>
      <c r="F72" s="105" t="str">
        <f>IF(E72="Complies","Pass",IF(E72="Not part of software","Software Doesn't Check","Fail"))</f>
        <v>Pass</v>
      </c>
      <c r="H72" s="9">
        <f t="shared" si="3"/>
        <v>0</v>
      </c>
    </row>
    <row r="73" spans="2:8" ht="15" thickBot="1" x14ac:dyDescent="0.4">
      <c r="B73" s="247" t="str">
        <f>D_M03!B25</f>
        <v>Cooling – heat pump</v>
      </c>
      <c r="C73" s="106"/>
      <c r="D73" s="106"/>
      <c r="E73" s="112" t="s">
        <v>93</v>
      </c>
      <c r="F73" s="105" t="str">
        <f>IF(E73="Complies","Pass",IF(E73="Not part of software","Software Doesn't Check","Fail"))</f>
        <v>Pass</v>
      </c>
      <c r="H73" s="9">
        <f t="shared" si="3"/>
        <v>0</v>
      </c>
    </row>
    <row r="74" spans="2:8" ht="15" thickBot="1" x14ac:dyDescent="0.4">
      <c r="B74" s="247" t="str">
        <f>D_M03!B26</f>
        <v>Ducts – supply in attic</v>
      </c>
      <c r="C74" s="106"/>
      <c r="D74" s="106"/>
      <c r="E74" s="112" t="s">
        <v>32</v>
      </c>
      <c r="F74" s="105" t="str">
        <f>IF(E74="R-Value too low","Pass",IF(E74="Not part of software","Software Doesn't Check","Fail"))</f>
        <v>Pass</v>
      </c>
      <c r="H74" s="9">
        <f t="shared" si="3"/>
        <v>0</v>
      </c>
    </row>
    <row r="75" spans="2:8" ht="15" thickBot="1" x14ac:dyDescent="0.4">
      <c r="B75" s="247" t="str">
        <f>D_M03!B27</f>
        <v>Ducts – Return in Conditioned Space</v>
      </c>
      <c r="C75" s="106"/>
      <c r="D75" s="106"/>
      <c r="E75" s="112" t="s">
        <v>93</v>
      </c>
      <c r="F75" s="105" t="str">
        <f t="shared" ref="F75:F83" si="4">IF(E75="Complies","Pass",IF(E75="Not part of software","Software Doesn't Check","Fail"))</f>
        <v>Pass</v>
      </c>
      <c r="H75" s="9">
        <f t="shared" si="3"/>
        <v>0</v>
      </c>
    </row>
    <row r="76" spans="2:8" ht="15" thickBot="1" x14ac:dyDescent="0.4">
      <c r="B76" s="247" t="str">
        <f>D_M03!B28</f>
        <v>Duct Tightness</v>
      </c>
      <c r="C76" s="106"/>
      <c r="D76" s="106"/>
      <c r="E76" s="112" t="s">
        <v>93</v>
      </c>
      <c r="F76" s="105" t="str">
        <f t="shared" si="4"/>
        <v>Pass</v>
      </c>
      <c r="H76" s="9">
        <f t="shared" si="3"/>
        <v>0</v>
      </c>
    </row>
    <row r="77" spans="2:8" ht="15" thickBot="1" x14ac:dyDescent="0.4">
      <c r="B77" s="247" t="str">
        <f>D_M03!B29</f>
        <v>Air Handler – in Conditioned Space</v>
      </c>
      <c r="C77" s="106"/>
      <c r="D77" s="106"/>
      <c r="E77" s="112" t="s">
        <v>93</v>
      </c>
      <c r="F77" s="105" t="str">
        <f t="shared" si="4"/>
        <v>Pass</v>
      </c>
      <c r="H77" s="9">
        <f t="shared" si="3"/>
        <v>0</v>
      </c>
    </row>
    <row r="78" spans="2:8" ht="15" thickBot="1" x14ac:dyDescent="0.4">
      <c r="B78" s="247" t="str">
        <f>D_M03!B30</f>
        <v>Mechanical Ventilation</v>
      </c>
      <c r="C78" s="106"/>
      <c r="D78" s="106"/>
      <c r="E78" s="103" t="s">
        <v>93</v>
      </c>
      <c r="F78" s="105" t="str">
        <f t="shared" si="4"/>
        <v>Pass</v>
      </c>
      <c r="H78" s="9">
        <f t="shared" si="3"/>
        <v>0</v>
      </c>
    </row>
    <row r="79" spans="2:8" ht="15" thickBot="1" x14ac:dyDescent="0.4">
      <c r="B79" s="247" t="str">
        <f>D_M03!B31</f>
        <v>Hot Water System - electric</v>
      </c>
      <c r="C79" s="106"/>
      <c r="D79" s="106"/>
      <c r="E79" s="112" t="s">
        <v>93</v>
      </c>
      <c r="F79" s="105" t="str">
        <f t="shared" si="4"/>
        <v>Pass</v>
      </c>
      <c r="H79" s="9">
        <f t="shared" si="3"/>
        <v>0</v>
      </c>
    </row>
    <row r="80" spans="2:8" ht="15" thickBot="1" x14ac:dyDescent="0.4">
      <c r="B80" s="247" t="str">
        <f>D_M03!B32</f>
        <v>All Hot Water Lines</v>
      </c>
      <c r="C80" s="106"/>
      <c r="D80" s="106"/>
      <c r="E80" s="112" t="s">
        <v>56</v>
      </c>
      <c r="F80" s="105" t="str">
        <f t="shared" si="4"/>
        <v>Software Doesn't Check</v>
      </c>
      <c r="H80" s="9">
        <f t="shared" si="3"/>
        <v>0</v>
      </c>
    </row>
    <row r="81" spans="1:8" ht="15" thickBot="1" x14ac:dyDescent="0.4">
      <c r="B81" s="247" t="str">
        <f>D_M03!B33</f>
        <v>Hot Water Circulation -none</v>
      </c>
      <c r="C81" s="106"/>
      <c r="D81" s="106"/>
      <c r="E81" s="112" t="s">
        <v>56</v>
      </c>
      <c r="F81" s="105" t="str">
        <f t="shared" si="4"/>
        <v>Software Doesn't Check</v>
      </c>
      <c r="H81" s="9">
        <f t="shared" si="3"/>
        <v>0</v>
      </c>
    </row>
    <row r="82" spans="1:8" ht="15" thickBot="1" x14ac:dyDescent="0.4">
      <c r="B82" s="247" t="str">
        <f>D_M03!B34</f>
        <v>Lighting</v>
      </c>
      <c r="C82" s="106"/>
      <c r="D82" s="106"/>
      <c r="E82" s="112" t="s">
        <v>93</v>
      </c>
      <c r="F82" s="105" t="str">
        <f t="shared" si="4"/>
        <v>Pass</v>
      </c>
      <c r="H82" s="9">
        <f t="shared" si="3"/>
        <v>0</v>
      </c>
    </row>
    <row r="83" spans="1:8" ht="15" thickBot="1" x14ac:dyDescent="0.4">
      <c r="B83" s="247" t="str">
        <f>D_M03!B35</f>
        <v>Pool and Spa - none</v>
      </c>
      <c r="C83" s="106"/>
      <c r="D83" s="106"/>
      <c r="E83" s="112" t="s">
        <v>56</v>
      </c>
      <c r="F83" s="105" t="str">
        <f t="shared" si="4"/>
        <v>Software Doesn't Check</v>
      </c>
      <c r="H83" s="9">
        <f t="shared" si="3"/>
        <v>0</v>
      </c>
    </row>
    <row r="84" spans="1:8" ht="19.5" customHeight="1" thickBot="1" x14ac:dyDescent="0.4">
      <c r="B84" s="248" t="str">
        <f>D_M03!B38</f>
        <v>Area Weighted Fenestration U-Factor Value</v>
      </c>
      <c r="C84" s="106"/>
      <c r="D84" s="106"/>
      <c r="E84" s="110"/>
      <c r="F84" s="105" t="s">
        <v>63</v>
      </c>
      <c r="H84" s="9">
        <f t="shared" si="3"/>
        <v>0</v>
      </c>
    </row>
    <row r="85" spans="1:8" ht="15" thickBot="1" x14ac:dyDescent="0.4">
      <c r="B85" s="248" t="str">
        <f>D_M03!B39</f>
        <v>Area Weighted Fenestration SHGC Value</v>
      </c>
      <c r="C85" s="106"/>
      <c r="D85" s="106"/>
      <c r="E85" s="103">
        <v>0.25</v>
      </c>
      <c r="F85" s="105" t="str">
        <f>IF(E85&gt;UA_M03!S27,IF(E85&lt;=UA_M03!S28,"Pass","Fail"),"Fail")</f>
        <v>Pass</v>
      </c>
      <c r="H85" s="9">
        <f t="shared" si="3"/>
        <v>0</v>
      </c>
    </row>
    <row r="86" spans="1:8" ht="15" thickBot="1" x14ac:dyDescent="0.4">
      <c r="B86" s="248" t="str">
        <f>D_M03!B40</f>
        <v>Total Thermal Envelope UA Value</v>
      </c>
      <c r="C86" s="106"/>
      <c r="D86" s="106"/>
      <c r="E86" s="103">
        <v>449.5</v>
      </c>
      <c r="F86" s="105" t="str">
        <f>IF(E86&gt;=UA_M03!H27,IF(E86&lt;=UA_M03!H28,"Pass","Fail"),"Fail")</f>
        <v>Pass</v>
      </c>
      <c r="H86" s="9">
        <f t="shared" si="3"/>
        <v>0</v>
      </c>
    </row>
    <row r="87" spans="1:8" ht="15" thickBot="1" x14ac:dyDescent="0.4">
      <c r="B87" s="248" t="str">
        <f>D_M03!B41</f>
        <v>Area Weighted Fenestration U-Factor Result</v>
      </c>
      <c r="C87" s="106"/>
      <c r="D87" s="106"/>
      <c r="E87" s="110"/>
      <c r="F87" s="105" t="s">
        <v>63</v>
      </c>
      <c r="H87" s="9">
        <f t="shared" si="3"/>
        <v>0</v>
      </c>
    </row>
    <row r="88" spans="1:8" ht="15" thickBot="1" x14ac:dyDescent="0.4">
      <c r="B88" s="248" t="str">
        <f>D_M03!B42</f>
        <v>Area Weighted Fenestration SHGC Result</v>
      </c>
      <c r="C88" s="106"/>
      <c r="D88" s="106"/>
      <c r="E88" s="103" t="s">
        <v>93</v>
      </c>
      <c r="F88" s="105" t="str">
        <f>IF(E88="Complies","Pass","Fail")</f>
        <v>Pass</v>
      </c>
      <c r="H88" s="9">
        <f t="shared" si="3"/>
        <v>0</v>
      </c>
    </row>
    <row r="89" spans="1:8" ht="18" customHeight="1" thickBot="1" x14ac:dyDescent="0.4">
      <c r="B89" s="248" t="str">
        <f>D_M03!B43</f>
        <v>Baseline Thermal Envelope UA Value</v>
      </c>
      <c r="C89" s="106"/>
      <c r="D89" s="106"/>
      <c r="E89" s="103">
        <v>484.4</v>
      </c>
      <c r="F89" s="105" t="str">
        <f>IF(E89&gt;=UA_M03!J27,IF(E89&lt;=UA_M03!J28,"Pass","Fail"),"Fail")</f>
        <v>Pass</v>
      </c>
      <c r="H89" s="9">
        <f t="shared" si="3"/>
        <v>0</v>
      </c>
    </row>
    <row r="90" spans="1:8" ht="15" thickBot="1" x14ac:dyDescent="0.4">
      <c r="B90" s="248" t="str">
        <f>D_M03!B44</f>
        <v>Total Thermal Envelope UA Result</v>
      </c>
      <c r="C90" s="106"/>
      <c r="D90" s="106"/>
      <c r="E90" s="103" t="s">
        <v>93</v>
      </c>
      <c r="F90" s="105" t="str">
        <f>IF(E90="Complies","Pass","Fail")</f>
        <v>Pass</v>
      </c>
      <c r="H90" s="9">
        <f t="shared" si="3"/>
        <v>0</v>
      </c>
    </row>
    <row r="91" spans="1:8" ht="15" thickBot="1" x14ac:dyDescent="0.4">
      <c r="B91" s="248" t="str">
        <f>D_M03!B45</f>
        <v>House Complies?</v>
      </c>
      <c r="C91" s="106"/>
      <c r="D91" s="106"/>
      <c r="E91" s="103" t="s">
        <v>120</v>
      </c>
      <c r="F91" s="105" t="str">
        <f>IF(E91="No","Pass","Fail")</f>
        <v>Pass</v>
      </c>
      <c r="H91" s="9">
        <f t="shared" si="3"/>
        <v>0</v>
      </c>
    </row>
    <row r="92" spans="1:8" ht="21.65" customHeight="1" x14ac:dyDescent="0.6">
      <c r="E92" s="15" t="s">
        <v>85</v>
      </c>
      <c r="F92" s="16" t="str">
        <f>IF(H92&gt;0,"FAIL","PASS")</f>
        <v>PASS</v>
      </c>
      <c r="H92">
        <f xml:space="preserve"> SUM(H56:H91)</f>
        <v>0</v>
      </c>
    </row>
    <row r="93" spans="1:8" ht="8.5" customHeight="1" x14ac:dyDescent="0.35">
      <c r="A93" s="14"/>
      <c r="B93" s="14"/>
      <c r="C93" s="14"/>
      <c r="D93" s="14"/>
      <c r="E93" s="14"/>
      <c r="F93" s="14"/>
      <c r="G93" s="14"/>
    </row>
    <row r="94" spans="1:8" hidden="1" x14ac:dyDescent="0.35"/>
    <row r="95" spans="1:8" ht="7.9" hidden="1" customHeight="1" x14ac:dyDescent="0.35">
      <c r="A95" s="2"/>
      <c r="B95" s="21"/>
      <c r="C95" s="2"/>
      <c r="D95" s="2"/>
      <c r="E95" s="2"/>
      <c r="F95" s="2"/>
      <c r="G95" s="2"/>
    </row>
    <row r="96" spans="1:8" hidden="1" x14ac:dyDescent="0.35">
      <c r="B96" s="19"/>
    </row>
    <row r="97" spans="2:8" ht="33" hidden="1" customHeight="1" x14ac:dyDescent="0.35">
      <c r="B97" s="114" t="s">
        <v>25</v>
      </c>
      <c r="C97" s="33" t="s">
        <v>27</v>
      </c>
      <c r="D97" s="507" t="str">
        <f>IF(Instructions!D2="","Enter Vendor's Software Name In Instruction Sheet",Instructions!D2)</f>
        <v xml:space="preserve">EnergyGauge USA </v>
      </c>
      <c r="E97" s="507"/>
    </row>
    <row r="98" spans="2:8" hidden="1" x14ac:dyDescent="0.35">
      <c r="B98" s="22" t="s">
        <v>76</v>
      </c>
    </row>
    <row r="99" spans="2:8" hidden="1" x14ac:dyDescent="0.35">
      <c r="B99" s="30" t="s">
        <v>112</v>
      </c>
      <c r="C99" s="1"/>
      <c r="D99" s="8" t="s">
        <v>84</v>
      </c>
      <c r="E99" s="8"/>
    </row>
    <row r="100" spans="2:8" hidden="1" x14ac:dyDescent="0.35">
      <c r="B100" s="31" t="s">
        <v>113</v>
      </c>
      <c r="C100" s="3"/>
      <c r="D100" s="3"/>
    </row>
    <row r="101" spans="2:8" hidden="1" x14ac:dyDescent="0.35">
      <c r="B101" s="250" t="str">
        <f>D_M03!B4</f>
        <v>House Pr-M03</v>
      </c>
      <c r="C101" s="10" t="s">
        <v>77</v>
      </c>
      <c r="D101" s="4"/>
      <c r="E101" s="10" t="s">
        <v>243</v>
      </c>
      <c r="F101" s="116" t="s">
        <v>88</v>
      </c>
    </row>
    <row r="102" spans="2:8" ht="15" hidden="1" thickBot="1" x14ac:dyDescent="0.4">
      <c r="B102" s="19"/>
      <c r="C102" s="10" t="s">
        <v>87</v>
      </c>
      <c r="D102" s="10" t="s">
        <v>77</v>
      </c>
      <c r="E102" s="10" t="s">
        <v>86</v>
      </c>
      <c r="F102" s="10" t="s">
        <v>89</v>
      </c>
    </row>
    <row r="103" spans="2:8" ht="15" hidden="1" thickBot="1" x14ac:dyDescent="0.4">
      <c r="B103" s="246" t="str">
        <f>D_M03!B8</f>
        <v>Slab-on-grade Floor</v>
      </c>
      <c r="C103" s="106"/>
      <c r="D103" s="106"/>
      <c r="E103" s="103"/>
      <c r="F103" s="105" t="str">
        <f>IF(E103="Complies","Pass","Fail")</f>
        <v>Fail</v>
      </c>
      <c r="H103" s="9">
        <f>IF(OR(F103="Not applicable",F103="Software Doesn't Check",F103="Pass"),0,1)</f>
        <v>1</v>
      </c>
    </row>
    <row r="104" spans="2:8" ht="15" hidden="1" thickBot="1" x14ac:dyDescent="0.4">
      <c r="B104" s="247" t="str">
        <f>D_M03!B9</f>
        <v>Roof – gable type- 5 in 12 slope No overhangs</v>
      </c>
      <c r="C104" s="106"/>
      <c r="D104" s="106"/>
      <c r="E104" s="103"/>
      <c r="F104" s="105" t="str">
        <f>IF(E104="Complies","Pass","Fail")</f>
        <v>Fail</v>
      </c>
      <c r="H104" s="9">
        <f t="shared" ref="H104:H138" si="5">IF(OR(F104="Not applicable",F104="Software Doesn't Check",F104="Pass"),0,1)</f>
        <v>1</v>
      </c>
    </row>
    <row r="105" spans="2:8" ht="15" hidden="1" thickBot="1" x14ac:dyDescent="0.4">
      <c r="B105" s="247" t="str">
        <f>D_M03!B10</f>
        <v>Ceiling1 –flat under attic</v>
      </c>
      <c r="C105" s="103"/>
      <c r="D105" s="103"/>
      <c r="E105" s="103"/>
      <c r="F105" s="105" t="str">
        <f>IF(E105="Complies","Pass","Fail")</f>
        <v>Fail</v>
      </c>
      <c r="H105" s="9">
        <f t="shared" si="5"/>
        <v>1</v>
      </c>
    </row>
    <row r="106" spans="2:8" ht="15" hidden="1" thickBot="1" x14ac:dyDescent="0.4">
      <c r="B106" s="247" t="str">
        <f>D_M03!B11</f>
        <v xml:space="preserve">        Skylight</v>
      </c>
      <c r="C106" s="106"/>
      <c r="D106" s="216">
        <f>D_M03!E11</f>
        <v>0.75</v>
      </c>
      <c r="E106" s="103"/>
      <c r="F106" s="105" t="str">
        <f>IF(E106="Complies","Pass","Fail")</f>
        <v>Fail</v>
      </c>
      <c r="H106" s="9">
        <f t="shared" si="5"/>
        <v>1</v>
      </c>
    </row>
    <row r="107" spans="2:8" ht="15" hidden="1" thickBot="1" x14ac:dyDescent="0.4">
      <c r="B107" s="247" t="str">
        <f>D_M03!B12</f>
        <v>Wall 1 –faces North, insulated core CBS2</v>
      </c>
      <c r="C107" s="103"/>
      <c r="D107" s="103"/>
      <c r="E107" s="103"/>
      <c r="F107" s="105" t="str">
        <f>IF(E107="Complies","Pass","Fail")</f>
        <v>Fail</v>
      </c>
      <c r="H107" s="9">
        <f t="shared" si="5"/>
        <v>1</v>
      </c>
    </row>
    <row r="108" spans="2:8" ht="15" hidden="1" thickBot="1" x14ac:dyDescent="0.4">
      <c r="B108" s="247" t="str">
        <f>D_M03!B13</f>
        <v xml:space="preserve">        Door 1 - </v>
      </c>
      <c r="C108" s="106"/>
      <c r="D108" s="216">
        <f>D_M03!E13</f>
        <v>0.65</v>
      </c>
      <c r="E108" s="110" t="s">
        <v>63</v>
      </c>
      <c r="F108" s="105" t="s">
        <v>63</v>
      </c>
      <c r="H108" s="9">
        <f t="shared" si="5"/>
        <v>0</v>
      </c>
    </row>
    <row r="109" spans="2:8" ht="15" hidden="1" thickBot="1" x14ac:dyDescent="0.4">
      <c r="B109" s="247" t="str">
        <f>D_M03!B14</f>
        <v xml:space="preserve">        Window 1 – Vinyl Frame Low-e Double</v>
      </c>
      <c r="C109" s="106"/>
      <c r="D109" s="216">
        <f>D_M03!E14</f>
        <v>0.65</v>
      </c>
      <c r="E109" s="110" t="s">
        <v>63</v>
      </c>
      <c r="F109" s="105" t="s">
        <v>63</v>
      </c>
      <c r="H109" s="9">
        <f t="shared" si="5"/>
        <v>0</v>
      </c>
    </row>
    <row r="110" spans="2:8" ht="15" hidden="1" thickBot="1" x14ac:dyDescent="0.4">
      <c r="B110" s="247" t="str">
        <f>D_M03!B15</f>
        <v>Wall 2 –faces East, insulated core CBS</v>
      </c>
      <c r="C110" s="103"/>
      <c r="D110" s="103"/>
      <c r="E110" s="103"/>
      <c r="F110" s="105" t="str">
        <f>IF(E110="Complies","Pass","Fail")</f>
        <v>Fail</v>
      </c>
      <c r="H110" s="9">
        <f t="shared" si="5"/>
        <v>1</v>
      </c>
    </row>
    <row r="111" spans="2:8" ht="15" hidden="1" thickBot="1" x14ac:dyDescent="0.4">
      <c r="B111" s="247" t="str">
        <f>D_M03!B16</f>
        <v xml:space="preserve">        Window 2 – Vinyl Frame Low-e Double</v>
      </c>
      <c r="C111" s="106"/>
      <c r="D111" s="216">
        <f>D_M03!E16</f>
        <v>0.65</v>
      </c>
      <c r="E111" s="110" t="s">
        <v>63</v>
      </c>
      <c r="F111" s="105" t="s">
        <v>63</v>
      </c>
      <c r="H111" s="9">
        <f t="shared" si="5"/>
        <v>0</v>
      </c>
    </row>
    <row r="112" spans="2:8" ht="15" hidden="1" thickBot="1" x14ac:dyDescent="0.4">
      <c r="B112" s="247" t="str">
        <f>D_M03!B17</f>
        <v>Wall 3 –faces South,  insulated core CBS</v>
      </c>
      <c r="C112" s="103"/>
      <c r="D112" s="103"/>
      <c r="E112" s="103"/>
      <c r="F112" s="105" t="str">
        <f>IF(E112="Complies","Pass","Fail")</f>
        <v>Fail</v>
      </c>
      <c r="H112" s="9">
        <f t="shared" si="5"/>
        <v>1</v>
      </c>
    </row>
    <row r="113" spans="2:8" ht="15" hidden="1" thickBot="1" x14ac:dyDescent="0.4">
      <c r="B113" s="247" t="str">
        <f>D_M03!B18</f>
        <v xml:space="preserve">        Window 3 – Vinyl Frame Low-e Double</v>
      </c>
      <c r="C113" s="106"/>
      <c r="D113" s="216">
        <f>D_M03!E18</f>
        <v>0.65</v>
      </c>
      <c r="E113" s="110" t="s">
        <v>63</v>
      </c>
      <c r="F113" s="105" t="s">
        <v>63</v>
      </c>
      <c r="H113" s="9">
        <f t="shared" si="5"/>
        <v>0</v>
      </c>
    </row>
    <row r="114" spans="2:8" ht="15" hidden="1" thickBot="1" x14ac:dyDescent="0.4">
      <c r="B114" s="247" t="str">
        <f>D_M03!B19</f>
        <v>Wall 4 –faces South, Wood3 2x4 Stud</v>
      </c>
      <c r="C114" s="103"/>
      <c r="D114" s="103"/>
      <c r="E114" s="103"/>
      <c r="F114" s="105" t="str">
        <f>IF(E114="U-Factor too high","Pass","Fail")</f>
        <v>Fail</v>
      </c>
      <c r="H114" s="9">
        <f t="shared" si="5"/>
        <v>1</v>
      </c>
    </row>
    <row r="115" spans="2:8" ht="15" hidden="1" thickBot="1" x14ac:dyDescent="0.4">
      <c r="B115" s="247" t="str">
        <f>D_M03!B20</f>
        <v xml:space="preserve">        Window 4 – Vinyl Frame  Low-e Double</v>
      </c>
      <c r="C115" s="106"/>
      <c r="D115" s="216">
        <f>D_M03!E20</f>
        <v>0.65</v>
      </c>
      <c r="E115" s="110" t="s">
        <v>63</v>
      </c>
      <c r="F115" s="105" t="s">
        <v>63</v>
      </c>
      <c r="H115" s="9">
        <f t="shared" si="5"/>
        <v>0</v>
      </c>
    </row>
    <row r="116" spans="2:8" ht="15" hidden="1" thickBot="1" x14ac:dyDescent="0.4">
      <c r="B116" s="247" t="str">
        <f>D_M03!B21</f>
        <v>Wall 5 –faces West,  insulated core CBS</v>
      </c>
      <c r="C116" s="103"/>
      <c r="D116" s="103"/>
      <c r="E116" s="103"/>
      <c r="F116" s="105" t="str">
        <f>IF(E116="Complies","Pass","Fail")</f>
        <v>Fail</v>
      </c>
      <c r="H116" s="9">
        <f t="shared" si="5"/>
        <v>1</v>
      </c>
    </row>
    <row r="117" spans="2:8" ht="15" hidden="1" thickBot="1" x14ac:dyDescent="0.4">
      <c r="B117" s="247" t="str">
        <f>D_M03!B22</f>
        <v xml:space="preserve">        Window 5 – Vinyl Frame Low-e Double</v>
      </c>
      <c r="C117" s="106"/>
      <c r="D117" s="216">
        <f>D_M03!E22</f>
        <v>0.65</v>
      </c>
      <c r="E117" s="110" t="s">
        <v>63</v>
      </c>
      <c r="F117" s="105" t="s">
        <v>63</v>
      </c>
      <c r="H117" s="9">
        <f t="shared" si="5"/>
        <v>0</v>
      </c>
    </row>
    <row r="118" spans="2:8" ht="15" hidden="1" thickBot="1" x14ac:dyDescent="0.4">
      <c r="B118" s="247" t="str">
        <f>D_M03!B23</f>
        <v>Infiltration</v>
      </c>
      <c r="C118" s="106"/>
      <c r="D118" s="106"/>
      <c r="E118" s="112"/>
      <c r="F118" s="105" t="str">
        <f>IF(E118="Complies","Pass",IF(E118="Not part of software","Software Doesn't Check","Fail"))</f>
        <v>Fail</v>
      </c>
      <c r="H118" s="9">
        <f t="shared" si="5"/>
        <v>1</v>
      </c>
    </row>
    <row r="119" spans="2:8" ht="15" hidden="1" thickBot="1" x14ac:dyDescent="0.4">
      <c r="B119" s="247" t="str">
        <f>D_M03!B24</f>
        <v>Heating – heat pump</v>
      </c>
      <c r="C119" s="106"/>
      <c r="D119" s="106"/>
      <c r="E119" s="109"/>
      <c r="F119" s="105" t="str">
        <f>IF(E119="Complies","Pass",IF(E119="Not part of software","Software Doesn't Check","Fail"))</f>
        <v>Fail</v>
      </c>
      <c r="H119" s="9">
        <f t="shared" si="5"/>
        <v>1</v>
      </c>
    </row>
    <row r="120" spans="2:8" ht="15" hidden="1" thickBot="1" x14ac:dyDescent="0.4">
      <c r="B120" s="247" t="str">
        <f>D_M03!B25</f>
        <v>Cooling – heat pump</v>
      </c>
      <c r="C120" s="106"/>
      <c r="D120" s="106"/>
      <c r="E120" s="112"/>
      <c r="F120" s="105" t="str">
        <f>IF(E120="Complies","Pass",IF(E120="Not part of software","Software Doesn't Check","Fail"))</f>
        <v>Fail</v>
      </c>
      <c r="H120" s="9">
        <f t="shared" si="5"/>
        <v>1</v>
      </c>
    </row>
    <row r="121" spans="2:8" ht="15" hidden="1" thickBot="1" x14ac:dyDescent="0.4">
      <c r="B121" s="247" t="str">
        <f>D_M03!B26</f>
        <v>Ducts – supply in attic</v>
      </c>
      <c r="C121" s="106"/>
      <c r="D121" s="106"/>
      <c r="E121" s="112"/>
      <c r="F121" s="105" t="str">
        <f>IF(E121="R-Value too low","Pass",IF(E121="Not part of software","Software Doesn't Check","Fail"))</f>
        <v>Fail</v>
      </c>
      <c r="H121" s="9">
        <f t="shared" si="5"/>
        <v>1</v>
      </c>
    </row>
    <row r="122" spans="2:8" ht="15" hidden="1" thickBot="1" x14ac:dyDescent="0.4">
      <c r="B122" s="247" t="str">
        <f>D_M03!B27</f>
        <v>Ducts – Return in Conditioned Space</v>
      </c>
      <c r="C122" s="106"/>
      <c r="D122" s="106"/>
      <c r="E122" s="112"/>
      <c r="F122" s="105" t="str">
        <f t="shared" ref="F122:F130" si="6">IF(E122="Complies","Pass",IF(E122="Not part of software","Software Doesn't Check","Fail"))</f>
        <v>Fail</v>
      </c>
      <c r="H122" s="9">
        <f t="shared" si="5"/>
        <v>1</v>
      </c>
    </row>
    <row r="123" spans="2:8" ht="15" hidden="1" thickBot="1" x14ac:dyDescent="0.4">
      <c r="B123" s="247" t="str">
        <f>D_M03!B28</f>
        <v>Duct Tightness</v>
      </c>
      <c r="C123" s="106"/>
      <c r="D123" s="106"/>
      <c r="E123" s="112"/>
      <c r="F123" s="105" t="str">
        <f t="shared" si="6"/>
        <v>Fail</v>
      </c>
      <c r="H123" s="9">
        <f t="shared" si="5"/>
        <v>1</v>
      </c>
    </row>
    <row r="124" spans="2:8" ht="15" hidden="1" thickBot="1" x14ac:dyDescent="0.4">
      <c r="B124" s="247" t="str">
        <f>D_M03!B29</f>
        <v>Air Handler – in Conditioned Space</v>
      </c>
      <c r="C124" s="106"/>
      <c r="D124" s="106"/>
      <c r="E124" s="112"/>
      <c r="F124" s="105" t="str">
        <f t="shared" si="6"/>
        <v>Fail</v>
      </c>
      <c r="H124" s="9">
        <f t="shared" si="5"/>
        <v>1</v>
      </c>
    </row>
    <row r="125" spans="2:8" ht="15" hidden="1" thickBot="1" x14ac:dyDescent="0.4">
      <c r="B125" s="247" t="str">
        <f>D_M03!B30</f>
        <v>Mechanical Ventilation</v>
      </c>
      <c r="C125" s="106"/>
      <c r="D125" s="106"/>
      <c r="E125" s="103"/>
      <c r="F125" s="105" t="str">
        <f t="shared" si="6"/>
        <v>Fail</v>
      </c>
      <c r="H125" s="9">
        <f t="shared" si="5"/>
        <v>1</v>
      </c>
    </row>
    <row r="126" spans="2:8" ht="15" hidden="1" thickBot="1" x14ac:dyDescent="0.4">
      <c r="B126" s="247" t="str">
        <f>D_M03!B31</f>
        <v>Hot Water System - electric</v>
      </c>
      <c r="C126" s="106"/>
      <c r="D126" s="106"/>
      <c r="E126" s="112"/>
      <c r="F126" s="105" t="str">
        <f t="shared" si="6"/>
        <v>Fail</v>
      </c>
      <c r="H126" s="9">
        <f t="shared" si="5"/>
        <v>1</v>
      </c>
    </row>
    <row r="127" spans="2:8" ht="15" hidden="1" thickBot="1" x14ac:dyDescent="0.4">
      <c r="B127" s="247" t="str">
        <f>D_M03!B32</f>
        <v>All Hot Water Lines</v>
      </c>
      <c r="C127" s="106"/>
      <c r="D127" s="106"/>
      <c r="E127" s="112"/>
      <c r="F127" s="105" t="str">
        <f t="shared" si="6"/>
        <v>Fail</v>
      </c>
      <c r="H127" s="9">
        <f t="shared" si="5"/>
        <v>1</v>
      </c>
    </row>
    <row r="128" spans="2:8" ht="15" hidden="1" thickBot="1" x14ac:dyDescent="0.4">
      <c r="B128" s="247" t="str">
        <f>D_M03!B33</f>
        <v>Hot Water Circulation -none</v>
      </c>
      <c r="C128" s="106"/>
      <c r="D128" s="106"/>
      <c r="E128" s="112"/>
      <c r="F128" s="105" t="str">
        <f t="shared" si="6"/>
        <v>Fail</v>
      </c>
      <c r="H128" s="9">
        <f t="shared" si="5"/>
        <v>1</v>
      </c>
    </row>
    <row r="129" spans="1:8" ht="15" hidden="1" thickBot="1" x14ac:dyDescent="0.4">
      <c r="B129" s="247" t="str">
        <f>D_M03!B34</f>
        <v>Lighting</v>
      </c>
      <c r="C129" s="106"/>
      <c r="D129" s="106"/>
      <c r="E129" s="112"/>
      <c r="F129" s="105" t="str">
        <f t="shared" si="6"/>
        <v>Fail</v>
      </c>
      <c r="H129" s="9">
        <f t="shared" si="5"/>
        <v>1</v>
      </c>
    </row>
    <row r="130" spans="1:8" ht="15" hidden="1" thickBot="1" x14ac:dyDescent="0.4">
      <c r="B130" s="247" t="str">
        <f>D_M03!B35</f>
        <v>Pool and Spa - none</v>
      </c>
      <c r="C130" s="106"/>
      <c r="D130" s="106"/>
      <c r="E130" s="112"/>
      <c r="F130" s="105" t="str">
        <f t="shared" si="6"/>
        <v>Fail</v>
      </c>
      <c r="H130" s="9">
        <f t="shared" si="5"/>
        <v>1</v>
      </c>
    </row>
    <row r="131" spans="1:8" ht="15" hidden="1" thickBot="1" x14ac:dyDescent="0.4">
      <c r="B131" s="247" t="str">
        <f>D_M03!B38</f>
        <v>Area Weighted Fenestration U-Factor Value</v>
      </c>
      <c r="C131" s="106"/>
      <c r="D131" s="106"/>
      <c r="E131" s="104"/>
      <c r="F131" s="105" t="str">
        <f>IF(E131&gt;UA_M03!O27,IF(E131&lt;=UA_M03!O28,"Pass","Fail"),"Fail")</f>
        <v>Fail</v>
      </c>
      <c r="H131" s="9">
        <f t="shared" si="5"/>
        <v>1</v>
      </c>
    </row>
    <row r="132" spans="1:8" ht="15" hidden="1" thickBot="1" x14ac:dyDescent="0.4">
      <c r="B132" s="248" t="str">
        <f>D_M03!B39</f>
        <v>Area Weighted Fenestration SHGC Value</v>
      </c>
      <c r="C132" s="106"/>
      <c r="D132" s="106"/>
      <c r="E132" s="103"/>
      <c r="F132" s="105" t="str">
        <f>IF(E132&gt;UA_M03!S27,IF(E132&lt;=UA_M03!S28,"Pass","Fail"),"Fail")</f>
        <v>Fail</v>
      </c>
      <c r="H132" s="9">
        <f t="shared" si="5"/>
        <v>1</v>
      </c>
    </row>
    <row r="133" spans="1:8" ht="15" hidden="1" thickBot="1" x14ac:dyDescent="0.4">
      <c r="B133" s="248" t="str">
        <f>D_M03!B40</f>
        <v>Total Thermal Envelope UA Value</v>
      </c>
      <c r="C133" s="106"/>
      <c r="D133" s="106"/>
      <c r="E133" s="110" t="s">
        <v>63</v>
      </c>
      <c r="F133" s="105" t="s">
        <v>63</v>
      </c>
      <c r="H133" s="9">
        <f t="shared" si="5"/>
        <v>0</v>
      </c>
    </row>
    <row r="134" spans="1:8" ht="15" hidden="1" thickBot="1" x14ac:dyDescent="0.4">
      <c r="B134" s="248" t="str">
        <f>D_M03!B41</f>
        <v>Area Weighted Fenestration U-Factor Result</v>
      </c>
      <c r="C134" s="106"/>
      <c r="D134" s="110"/>
      <c r="E134" s="103"/>
      <c r="F134" s="105" t="str">
        <f>IF(E134="Average U too high","Pass","Fail")</f>
        <v>Fail</v>
      </c>
      <c r="H134" s="9">
        <f t="shared" si="5"/>
        <v>1</v>
      </c>
    </row>
    <row r="135" spans="1:8" ht="15" hidden="1" thickBot="1" x14ac:dyDescent="0.4">
      <c r="B135" s="248" t="str">
        <f>D_M03!B42</f>
        <v>Area Weighted Fenestration SHGC Result</v>
      </c>
      <c r="C135" s="106"/>
      <c r="D135" s="110"/>
      <c r="E135" s="103"/>
      <c r="F135" s="105" t="str">
        <f>IF(E135="Complies","Pass","Fail")</f>
        <v>Fail</v>
      </c>
      <c r="H135" s="9">
        <f t="shared" si="5"/>
        <v>1</v>
      </c>
    </row>
    <row r="136" spans="1:8" ht="15" hidden="1" customHeight="1" thickBot="1" x14ac:dyDescent="0.4">
      <c r="B136" s="248" t="str">
        <f>D_M03!B43</f>
        <v>Baseline Thermal Envelope UA Value</v>
      </c>
      <c r="C136" s="106"/>
      <c r="D136" s="110"/>
      <c r="E136" s="110" t="s">
        <v>63</v>
      </c>
      <c r="F136" s="105" t="s">
        <v>63</v>
      </c>
      <c r="H136" s="9">
        <f t="shared" si="5"/>
        <v>0</v>
      </c>
    </row>
    <row r="137" spans="1:8" ht="15" hidden="1" thickBot="1" x14ac:dyDescent="0.4">
      <c r="B137" s="248" t="str">
        <f>D_M03!B44</f>
        <v>Total Thermal Envelope UA Result</v>
      </c>
      <c r="C137" s="106"/>
      <c r="D137" s="110"/>
      <c r="E137" s="110" t="s">
        <v>63</v>
      </c>
      <c r="F137" s="105" t="s">
        <v>63</v>
      </c>
      <c r="H137" s="9">
        <f t="shared" si="5"/>
        <v>0</v>
      </c>
    </row>
    <row r="138" spans="1:8" ht="15" hidden="1" thickBot="1" x14ac:dyDescent="0.4">
      <c r="B138" s="248" t="str">
        <f>D_M03!B45</f>
        <v>House Complies?</v>
      </c>
      <c r="C138" s="106"/>
      <c r="D138" s="110"/>
      <c r="E138" s="103"/>
      <c r="F138" s="105" t="str">
        <f>IF(E138="No","Pass","Fail")</f>
        <v>Fail</v>
      </c>
      <c r="H138" s="9">
        <f t="shared" si="5"/>
        <v>1</v>
      </c>
    </row>
    <row r="139" spans="1:8" ht="21" hidden="1" customHeight="1" x14ac:dyDescent="0.6">
      <c r="B139" s="19"/>
      <c r="E139" s="24" t="s">
        <v>85</v>
      </c>
      <c r="F139" s="16" t="str">
        <f>IF(H139&gt;0,"FAIL","PASS")</f>
        <v>FAIL</v>
      </c>
      <c r="H139">
        <f xml:space="preserve"> SUM(H103:H138)</f>
        <v>27</v>
      </c>
    </row>
    <row r="140" spans="1:8" ht="7.9" hidden="1" customHeight="1" x14ac:dyDescent="0.35">
      <c r="A140" s="2"/>
      <c r="B140" s="21"/>
      <c r="C140" s="2"/>
      <c r="D140" s="2"/>
      <c r="E140" s="25"/>
      <c r="F140" s="2"/>
    </row>
    <row r="141" spans="1:8" hidden="1" x14ac:dyDescent="0.35">
      <c r="B141" s="19"/>
      <c r="E141" s="26"/>
    </row>
    <row r="142" spans="1:8" ht="7.9" hidden="1" customHeight="1" x14ac:dyDescent="0.35">
      <c r="A142" s="14"/>
      <c r="B142" s="23"/>
      <c r="C142" s="14"/>
      <c r="D142" s="14"/>
      <c r="E142" s="27"/>
      <c r="F142" s="14"/>
    </row>
    <row r="143" spans="1:8" hidden="1" x14ac:dyDescent="0.35">
      <c r="B143" s="19"/>
      <c r="E143" s="26"/>
    </row>
  </sheetData>
  <sheetProtection algorithmName="SHA-512" hashValue="fYvOYEh0QnHRNkAX9rOD2WKXLvL6/2eWN0/gcDrSgLPsEUbXKOnAjoZtl0hIdWet2eXB43l1nvVxrXDp3o7Tgw==" saltValue="jVhA4N59lZ6gUmeaDHZy9w==" spinCount="100000" sheet="1" objects="1" scenarios="1"/>
  <mergeCells count="3">
    <mergeCell ref="D3:E3"/>
    <mergeCell ref="D50:E50"/>
    <mergeCell ref="D97:E97"/>
  </mergeCells>
  <dataValidations count="28">
    <dataValidation type="list" allowBlank="1" showInputMessage="1" showErrorMessage="1" sqref="C11 E103">
      <formula1>Floor</formula1>
    </dataValidation>
    <dataValidation type="list" allowBlank="1" showInputMessage="1" showErrorMessage="1" sqref="C12 E104">
      <formula1>Roof</formula1>
    </dataValidation>
    <dataValidation type="list" allowBlank="1" showInputMessage="1" showErrorMessage="1" sqref="C13 E105">
      <formula1>Ceiling</formula1>
    </dataValidation>
    <dataValidation type="list" allowBlank="1" showInputMessage="1" showErrorMessage="1" sqref="C14 C106 E106 C59 E59">
      <formula1>Skylight</formula1>
    </dataValidation>
    <dataValidation type="list" allowBlank="1" showInputMessage="1" showErrorMessage="1" sqref="C16 C61 E108">
      <formula1>Door</formula1>
    </dataValidation>
    <dataValidation type="list" allowBlank="1" showInputMessage="1" showErrorMessage="1" sqref="C17 C19 C21 C23 C25 E113 E109 C64 E111 E70 E64 E61:E62 E66 E68 E115 C66 E117 C68 C70 C62">
      <formula1>Window</formula1>
    </dataValidation>
    <dataValidation type="list" allowBlank="1" showInputMessage="1" showErrorMessage="1" sqref="C26 E118 E71">
      <formula1>Infiltration</formula1>
    </dataValidation>
    <dataValidation type="list" allowBlank="1" showInputMessage="1" showErrorMessage="1" sqref="C27 E119 E72">
      <formula1>Heating</formula1>
    </dataValidation>
    <dataValidation type="list" allowBlank="1" showInputMessage="1" showErrorMessage="1" sqref="C28 E120 E73">
      <formula1>Cooling</formula1>
    </dataValidation>
    <dataValidation type="list" allowBlank="1" showInputMessage="1" showErrorMessage="1" sqref="C29 E121 E74">
      <formula1>SupplyDucts</formula1>
    </dataValidation>
    <dataValidation type="list" allowBlank="1" showInputMessage="1" showErrorMessage="1" sqref="C30 E122 E75">
      <formula1>ReturnDucts</formula1>
    </dataValidation>
    <dataValidation type="list" allowBlank="1" showInputMessage="1" showErrorMessage="1" sqref="C31 E123 E76">
      <formula1>DuctTightness</formula1>
    </dataValidation>
    <dataValidation type="list" allowBlank="1" showInputMessage="1" showErrorMessage="1" sqref="C32 E124 E77">
      <formula1>AirHandler</formula1>
    </dataValidation>
    <dataValidation type="list" allowBlank="1" showInputMessage="1" showErrorMessage="1" sqref="C34 E126 E79">
      <formula1>HotWaterSystem</formula1>
    </dataValidation>
    <dataValidation type="list" allowBlank="1" showInputMessage="1" showErrorMessage="1" sqref="C35 E127 E80">
      <formula1>HotWaterLines</formula1>
    </dataValidation>
    <dataValidation type="list" allowBlank="1" showInputMessage="1" showErrorMessage="1" sqref="C36 E128 E81">
      <formula1>HotWaterCirculation</formula1>
    </dataValidation>
    <dataValidation type="list" allowBlank="1" showInputMessage="1" showErrorMessage="1" sqref="C37 E129 E82">
      <formula1>Lighting</formula1>
    </dataValidation>
    <dataValidation type="list" allowBlank="1" showInputMessage="1" showErrorMessage="1" sqref="C38 E130 E83">
      <formula1>PoolandSpa</formula1>
    </dataValidation>
    <dataValidation type="list" allowBlank="1" showInputMessage="1" showErrorMessage="1" sqref="C15 C18 C20 C22 C24 E116 E107 E110 E114 E112">
      <formula1>Wall</formula1>
    </dataValidation>
    <dataValidation type="decimal" allowBlank="1" showInputMessage="1" showErrorMessage="1" sqref="C39 D117 D106 D61:D62 D108:D109 D111 D113 D64 D66 D68 D59 D115 D70">
      <formula1>0</formula1>
      <formula2>2</formula2>
    </dataValidation>
    <dataValidation type="decimal" allowBlank="1" showInputMessage="1" showErrorMessage="1" sqref="D58 D110 D105 D107 C40 D60 D63 D69 D67 D65 D116 D114 D112">
      <formula1>0</formula1>
      <formula2>1</formula2>
    </dataValidation>
    <dataValidation type="list" allowBlank="1" showInputMessage="1" showErrorMessage="1" sqref="C42 E134">
      <formula1>OverallFenU</formula1>
    </dataValidation>
    <dataValidation type="list" allowBlank="1" showInputMessage="1" showErrorMessage="1" sqref="C43 E135 E88">
      <formula1>OverallFenSHGC</formula1>
    </dataValidation>
    <dataValidation type="list" allowBlank="1" showInputMessage="1" showErrorMessage="1" sqref="C41 C44:C45 E90">
      <formula1>TotalUA</formula1>
    </dataValidation>
    <dataValidation type="decimal" allowBlank="1" showInputMessage="1" showErrorMessage="1" sqref="D86 D89">
      <formula1>0</formula1>
      <formula2>1000</formula2>
    </dataValidation>
    <dataValidation type="list" allowBlank="1" showInputMessage="1" showErrorMessage="1" sqref="C105 C58 C60 C63 C65 C67 C69 C107 C110 C112 C114 C116">
      <formula1>UCalcMethod</formula1>
    </dataValidation>
    <dataValidation type="list" allowBlank="1" showInputMessage="1" showErrorMessage="1" sqref="E138 C46 E91">
      <formula1>Complies</formula1>
    </dataValidation>
    <dataValidation type="list" allowBlank="1" showInputMessage="1" showErrorMessage="1" sqref="E78 E125 C33">
      <formula1>MechanicalVent</formula1>
    </dataValidation>
  </dataValidations>
  <pageMargins left="0.7" right="0.7" top="0.75" bottom="0.75" header="0.3" footer="0.3"/>
  <pageSetup scale="67" orientation="portrait" r:id="rId1"/>
  <rowBreaks count="1" manualBreakCount="1">
    <brk id="140" max="5"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2:T108"/>
  <sheetViews>
    <sheetView zoomScaleNormal="100" zoomScaleSheetLayoutView="28" workbookViewId="0">
      <selection activeCell="B1" sqref="B1"/>
    </sheetView>
  </sheetViews>
  <sheetFormatPr defaultColWidth="9.1796875" defaultRowHeight="14.5" x14ac:dyDescent="0.35"/>
  <cols>
    <col min="1" max="1" width="4.54296875" style="33" customWidth="1"/>
    <col min="2" max="2" width="8.26953125" style="33" customWidth="1"/>
    <col min="3" max="3" width="49.81640625" style="33" customWidth="1"/>
    <col min="4" max="5" width="12.7265625" style="33" customWidth="1"/>
    <col min="6" max="6" width="13.26953125" style="33" customWidth="1"/>
    <col min="7" max="7" width="11.54296875" style="33" customWidth="1"/>
    <col min="8" max="8" width="11.26953125" style="33" customWidth="1"/>
    <col min="9" max="10" width="11.1796875" style="33" customWidth="1"/>
    <col min="11" max="12" width="12" style="33" customWidth="1"/>
    <col min="13" max="13" width="10.54296875" style="33" customWidth="1"/>
    <col min="14" max="14" width="12" style="33" customWidth="1"/>
    <col min="15" max="15" width="10.1796875" style="33" customWidth="1"/>
    <col min="16" max="20" width="12" style="33" customWidth="1"/>
    <col min="21" max="16384" width="9.1796875" style="33"/>
  </cols>
  <sheetData>
    <row r="2" spans="2:20" x14ac:dyDescent="0.35">
      <c r="B2" s="450" t="str">
        <f>D_M03!B2</f>
        <v xml:space="preserve">Prescriptive Test: House M03 (Pr-M03) Characteristics – Location: Miami, Florida. </v>
      </c>
      <c r="C2" s="450"/>
      <c r="D2" s="450"/>
      <c r="E2" s="450"/>
      <c r="F2" s="451"/>
    </row>
    <row r="3" spans="2:20" x14ac:dyDescent="0.35">
      <c r="B3" s="450" t="str">
        <f>D_M03!B3</f>
        <v xml:space="preserve">Single Family Detached Home with No Attached Garage, Single Story, Three bedroom. </v>
      </c>
      <c r="C3" s="450"/>
      <c r="D3" s="450"/>
      <c r="E3" s="450"/>
      <c r="F3" s="451"/>
    </row>
    <row r="4" spans="2:20" x14ac:dyDescent="0.35">
      <c r="E4" s="34"/>
    </row>
    <row r="5" spans="2:20" ht="18.75" customHeight="1" x14ac:dyDescent="0.35">
      <c r="B5" s="32" t="s">
        <v>276</v>
      </c>
      <c r="C5" s="32"/>
      <c r="D5" s="32"/>
      <c r="E5" s="32"/>
      <c r="F5" s="32"/>
      <c r="G5" s="32"/>
      <c r="H5" s="32"/>
      <c r="I5" s="32"/>
      <c r="J5" s="32"/>
      <c r="K5" s="513" t="str">
        <f>Selections!K18</f>
        <v>Fenestration Area</v>
      </c>
      <c r="L5" s="514"/>
      <c r="M5" s="515" t="str">
        <f>Selections!M18</f>
        <v>Rvalue Method</v>
      </c>
      <c r="N5" s="514"/>
      <c r="O5" s="515" t="str">
        <f>Selections!O18</f>
        <v>Uvalue Method</v>
      </c>
      <c r="P5" s="514"/>
      <c r="Q5" s="515" t="str">
        <f>Selections!Q18</f>
        <v>Rvalue Method</v>
      </c>
      <c r="R5" s="514"/>
      <c r="S5" s="515" t="str">
        <f>Selections!S18</f>
        <v>Uvalue Method</v>
      </c>
      <c r="T5" s="514"/>
    </row>
    <row r="6" spans="2:20" ht="48" customHeight="1" x14ac:dyDescent="0.35">
      <c r="B6" s="226"/>
      <c r="C6" s="227"/>
      <c r="D6" s="516" t="str">
        <f>Selections!D19</f>
        <v>Envelope Geometry (Area)</v>
      </c>
      <c r="E6" s="517"/>
      <c r="F6" s="518"/>
      <c r="G6" s="519" t="str">
        <f>Selections!G19</f>
        <v>Proposed Home</v>
      </c>
      <c r="H6" s="520"/>
      <c r="I6" s="519" t="str">
        <f>Selections!I19</f>
        <v>Reference Home</v>
      </c>
      <c r="J6" s="520"/>
      <c r="K6" s="511" t="str">
        <f>Selections!K19</f>
        <v>Compliance Method Fenestration Area</v>
      </c>
      <c r="L6" s="512"/>
      <c r="M6" s="511" t="str">
        <f>Selections!M19</f>
        <v>Window Area Weighted Avg Proposed U-Factor</v>
      </c>
      <c r="N6" s="512"/>
      <c r="O6" s="511" t="str">
        <f>Selections!O19</f>
        <v>Window Area Weighted Avg Proposed U-Factor</v>
      </c>
      <c r="P6" s="512"/>
      <c r="Q6" s="511" t="str">
        <f>Selections!Q19</f>
        <v>Window Area Weighted Avg Proposed SHGC</v>
      </c>
      <c r="R6" s="512"/>
      <c r="S6" s="511" t="str">
        <f>Selections!S19</f>
        <v>Window Area Weighted Avg Proposed SHGC</v>
      </c>
      <c r="T6" s="512"/>
    </row>
    <row r="7" spans="2:20" ht="39.75" customHeight="1" thickBot="1" x14ac:dyDescent="0.4">
      <c r="B7" s="231"/>
      <c r="C7" s="232" t="str">
        <f>Selections!C20</f>
        <v>Envelope Name</v>
      </c>
      <c r="D7" s="233" t="str">
        <f>Selections!D20</f>
        <v>Envelope Type</v>
      </c>
      <c r="E7" s="233" t="str">
        <f>Selections!E20</f>
        <v>Gross Area</v>
      </c>
      <c r="F7" s="233" t="str">
        <f>Selections!F20</f>
        <v>Net Area</v>
      </c>
      <c r="G7" s="234" t="str">
        <f>Selections!G20</f>
        <v>U-Factor Proposed</v>
      </c>
      <c r="H7" s="235" t="str">
        <f>Selections!H20</f>
        <v>UA-Value Proposed</v>
      </c>
      <c r="I7" s="233" t="str">
        <f>Selections!I20</f>
        <v>U-Factor Reference</v>
      </c>
      <c r="J7" s="235" t="str">
        <f>Selections!J20</f>
        <v>UA-Value Reference</v>
      </c>
      <c r="K7" s="236" t="str">
        <f>Selections!K20</f>
        <v>R-Value Method</v>
      </c>
      <c r="L7" s="236" t="str">
        <f>Selections!L20</f>
        <v>U-Factor Method</v>
      </c>
      <c r="M7" s="236" t="str">
        <f>Selections!M20</f>
        <v>U-Factor</v>
      </c>
      <c r="N7" s="236" t="str">
        <f>Selections!N20</f>
        <v>UA-Value</v>
      </c>
      <c r="O7" s="236" t="str">
        <f>Selections!O20</f>
        <v>U-Factor</v>
      </c>
      <c r="P7" s="236" t="str">
        <f>Selections!P20</f>
        <v>UA-Value</v>
      </c>
      <c r="Q7" s="236" t="str">
        <f>Selections!Q20</f>
        <v>SHGC</v>
      </c>
      <c r="R7" s="236" t="str">
        <f>Selections!R20</f>
        <v>SHGC x Area</v>
      </c>
      <c r="S7" s="236" t="str">
        <f>Selections!S20</f>
        <v>SHGC</v>
      </c>
      <c r="T7" s="236" t="str">
        <f>Selections!T20</f>
        <v>SHGC x Area</v>
      </c>
    </row>
    <row r="8" spans="2:20" ht="15" customHeight="1" thickTop="1" x14ac:dyDescent="0.35">
      <c r="B8" s="37">
        <v>1</v>
      </c>
      <c r="C8" s="223" t="str">
        <f>D_M03!B8</f>
        <v>Slab-on-grade Floor</v>
      </c>
      <c r="D8" s="38" t="s">
        <v>30</v>
      </c>
      <c r="E8" s="39"/>
      <c r="F8" s="40"/>
      <c r="G8" s="41"/>
      <c r="H8" s="40"/>
      <c r="I8" s="42"/>
      <c r="J8" s="42"/>
      <c r="K8" s="38"/>
      <c r="L8" s="40"/>
      <c r="M8" s="39"/>
      <c r="N8" s="40"/>
      <c r="O8" s="43"/>
      <c r="P8" s="40"/>
      <c r="Q8" s="43"/>
      <c r="R8" s="40"/>
      <c r="S8" s="43"/>
      <c r="T8" s="40"/>
    </row>
    <row r="9" spans="2:20" ht="15" customHeight="1" x14ac:dyDescent="0.35">
      <c r="B9" s="44">
        <v>2</v>
      </c>
      <c r="C9" s="224" t="str">
        <f>D_M03!B9</f>
        <v>Roof – gable type- 5 in 12 slope No overhangs</v>
      </c>
      <c r="D9" s="46" t="s">
        <v>33</v>
      </c>
      <c r="E9" s="47"/>
      <c r="F9" s="48"/>
      <c r="G9" s="46"/>
      <c r="H9" s="48"/>
      <c r="I9" s="47"/>
      <c r="J9" s="47"/>
      <c r="K9" s="46"/>
      <c r="L9" s="48"/>
      <c r="M9" s="47"/>
      <c r="N9" s="48"/>
      <c r="O9" s="44"/>
      <c r="P9" s="48"/>
      <c r="Q9" s="44"/>
      <c r="R9" s="48"/>
      <c r="S9" s="44"/>
      <c r="T9" s="48"/>
    </row>
    <row r="10" spans="2:20" ht="15" customHeight="1" x14ac:dyDescent="0.35">
      <c r="B10" s="44">
        <v>3</v>
      </c>
      <c r="C10" s="224" t="str">
        <f>D_M03!B10</f>
        <v>Ceiling1 –flat under attic</v>
      </c>
      <c r="D10" s="46" t="s">
        <v>34</v>
      </c>
      <c r="E10" s="133">
        <f>D_M03!G10</f>
        <v>2000</v>
      </c>
      <c r="F10" s="205">
        <f>E10-E11</f>
        <v>1990</v>
      </c>
      <c r="G10" s="206">
        <f>D57</f>
        <v>3.9177480803834021E-2</v>
      </c>
      <c r="H10" s="202">
        <f t="shared" ref="H10:H22" si="0">$G10*$F10</f>
        <v>77.963186799629696</v>
      </c>
      <c r="I10" s="136">
        <f>D35</f>
        <v>3.5000000000000003E-2</v>
      </c>
      <c r="J10" s="124">
        <f t="shared" ref="J10:J22" si="1">$I10*$F10</f>
        <v>69.650000000000006</v>
      </c>
      <c r="K10" s="50"/>
      <c r="L10" s="49"/>
      <c r="M10" s="47"/>
      <c r="N10" s="48"/>
      <c r="O10" s="44"/>
      <c r="P10" s="48"/>
      <c r="Q10" s="44"/>
      <c r="R10" s="48"/>
      <c r="S10" s="44"/>
      <c r="T10" s="48"/>
    </row>
    <row r="11" spans="2:20" ht="15" customHeight="1" x14ac:dyDescent="0.35">
      <c r="B11" s="44">
        <v>4</v>
      </c>
      <c r="C11" s="224" t="str">
        <f>D_M03!B11</f>
        <v xml:space="preserve">        Skylight</v>
      </c>
      <c r="D11" s="46" t="s">
        <v>35</v>
      </c>
      <c r="E11" s="133">
        <f>D_M03!G11</f>
        <v>10</v>
      </c>
      <c r="F11" s="205">
        <f>E11</f>
        <v>10</v>
      </c>
      <c r="G11" s="206">
        <f>D_M03!E11</f>
        <v>0.75</v>
      </c>
      <c r="H11" s="202">
        <f t="shared" si="0"/>
        <v>7.5</v>
      </c>
      <c r="I11" s="136">
        <f>D38</f>
        <v>0.75</v>
      </c>
      <c r="J11" s="124">
        <f t="shared" si="1"/>
        <v>7.5</v>
      </c>
      <c r="K11" s="201">
        <f>IF(E11&lt;=Selections!$C$33,0,E11)</f>
        <v>0</v>
      </c>
      <c r="L11" s="202">
        <f>E11</f>
        <v>10</v>
      </c>
      <c r="M11" s="136">
        <f>$G11</f>
        <v>0.75</v>
      </c>
      <c r="N11" s="202">
        <f>K11*M11</f>
        <v>0</v>
      </c>
      <c r="O11" s="134">
        <f>$G11</f>
        <v>0.75</v>
      </c>
      <c r="P11" s="202">
        <f>O11*L11</f>
        <v>7.5</v>
      </c>
      <c r="Q11" s="134">
        <f>D_M03!F11</f>
        <v>0.25</v>
      </c>
      <c r="R11" s="202">
        <f>K11*Q11</f>
        <v>0</v>
      </c>
      <c r="S11" s="134">
        <f>$Q11</f>
        <v>0.25</v>
      </c>
      <c r="T11" s="202">
        <f>S11*L11</f>
        <v>2.5</v>
      </c>
    </row>
    <row r="12" spans="2:20" ht="15" customHeight="1" x14ac:dyDescent="0.35">
      <c r="B12" s="44">
        <v>5</v>
      </c>
      <c r="C12" s="224" t="str">
        <f>D_M03!B12</f>
        <v>Wall 1 –faces North, insulated core CBS2</v>
      </c>
      <c r="D12" s="46" t="s">
        <v>36</v>
      </c>
      <c r="E12" s="133">
        <f>D_M03!G12</f>
        <v>500</v>
      </c>
      <c r="F12" s="205">
        <f>E12-E13-E14</f>
        <v>401</v>
      </c>
      <c r="G12" s="206">
        <f>D73</f>
        <v>0.1079507785698037</v>
      </c>
      <c r="H12" s="202">
        <f t="shared" si="0"/>
        <v>43.288262206491282</v>
      </c>
      <c r="I12" s="136">
        <f>D36</f>
        <v>0.17</v>
      </c>
      <c r="J12" s="124">
        <f t="shared" si="1"/>
        <v>68.17</v>
      </c>
      <c r="K12" s="201"/>
      <c r="L12" s="202"/>
      <c r="M12" s="133"/>
      <c r="N12" s="203"/>
      <c r="O12" s="100"/>
      <c r="P12" s="203"/>
      <c r="Q12" s="100"/>
      <c r="R12" s="203"/>
      <c r="S12" s="134"/>
      <c r="T12" s="203"/>
    </row>
    <row r="13" spans="2:20" ht="15" customHeight="1" x14ac:dyDescent="0.35">
      <c r="B13" s="44">
        <v>6</v>
      </c>
      <c r="C13" s="224" t="str">
        <f>D_M03!B13</f>
        <v xml:space="preserve">        Door 1 - </v>
      </c>
      <c r="D13" s="46" t="s">
        <v>38</v>
      </c>
      <c r="E13" s="133">
        <f>D_M03!G13</f>
        <v>24</v>
      </c>
      <c r="F13" s="205">
        <f>E13</f>
        <v>24</v>
      </c>
      <c r="G13" s="206">
        <f>D_M03!E13</f>
        <v>0.65</v>
      </c>
      <c r="H13" s="202">
        <f t="shared" si="0"/>
        <v>15.600000000000001</v>
      </c>
      <c r="I13" s="136">
        <f>D39</f>
        <v>0.5</v>
      </c>
      <c r="J13" s="124">
        <f t="shared" si="1"/>
        <v>12</v>
      </c>
      <c r="K13" s="201">
        <f>IF(E13&lt;=Selections!$C$32,0,E13)</f>
        <v>0</v>
      </c>
      <c r="L13" s="202">
        <f>E13</f>
        <v>24</v>
      </c>
      <c r="M13" s="133">
        <v>0</v>
      </c>
      <c r="N13" s="202">
        <f>K13*M13</f>
        <v>0</v>
      </c>
      <c r="O13" s="134">
        <f>$G13</f>
        <v>0.65</v>
      </c>
      <c r="P13" s="202">
        <f>O13*L13</f>
        <v>15.600000000000001</v>
      </c>
      <c r="Q13" s="100">
        <f>D_M03!F13</f>
        <v>0</v>
      </c>
      <c r="R13" s="202">
        <f>K13*Q13</f>
        <v>0</v>
      </c>
      <c r="S13" s="138">
        <f t="shared" ref="S13:S22" si="2">$Q13</f>
        <v>0</v>
      </c>
      <c r="T13" s="202">
        <f>S13*L13</f>
        <v>0</v>
      </c>
    </row>
    <row r="14" spans="2:20" ht="15" customHeight="1" x14ac:dyDescent="0.35">
      <c r="B14" s="44">
        <v>7</v>
      </c>
      <c r="C14" s="224" t="str">
        <f>D_M03!B14</f>
        <v xml:space="preserve">        Window 1 – Vinyl Frame Low-e Double</v>
      </c>
      <c r="D14" s="46" t="s">
        <v>37</v>
      </c>
      <c r="E14" s="133">
        <f>D_M03!G14</f>
        <v>75</v>
      </c>
      <c r="F14" s="205">
        <f>E14</f>
        <v>75</v>
      </c>
      <c r="G14" s="206">
        <f>D_M03!E14</f>
        <v>0.65</v>
      </c>
      <c r="H14" s="202">
        <f t="shared" si="0"/>
        <v>48.75</v>
      </c>
      <c r="I14" s="136">
        <f>D40</f>
        <v>0.5</v>
      </c>
      <c r="J14" s="124">
        <f t="shared" si="1"/>
        <v>37.5</v>
      </c>
      <c r="K14" s="201">
        <f>IF(E14&lt;=Selections!$C$33,0,E14)</f>
        <v>75</v>
      </c>
      <c r="L14" s="202">
        <f>E14</f>
        <v>75</v>
      </c>
      <c r="M14" s="136">
        <f>$G14</f>
        <v>0.65</v>
      </c>
      <c r="N14" s="202">
        <f>K14*M14</f>
        <v>48.75</v>
      </c>
      <c r="O14" s="134">
        <f>$G14</f>
        <v>0.65</v>
      </c>
      <c r="P14" s="202">
        <f>O14*L14</f>
        <v>48.75</v>
      </c>
      <c r="Q14" s="134">
        <f>D_M03!F14</f>
        <v>0.25</v>
      </c>
      <c r="R14" s="202">
        <f>K14*Q14</f>
        <v>18.75</v>
      </c>
      <c r="S14" s="134">
        <f t="shared" si="2"/>
        <v>0.25</v>
      </c>
      <c r="T14" s="202">
        <f>S14*L14</f>
        <v>18.75</v>
      </c>
    </row>
    <row r="15" spans="2:20" ht="15" customHeight="1" x14ac:dyDescent="0.35">
      <c r="B15" s="44">
        <v>8</v>
      </c>
      <c r="C15" s="224" t="str">
        <f>D_M03!B15</f>
        <v>Wall 2 –faces East, insulated core CBS</v>
      </c>
      <c r="D15" s="51" t="s">
        <v>36</v>
      </c>
      <c r="E15" s="133">
        <f>D_M03!G15</f>
        <v>400</v>
      </c>
      <c r="F15" s="205">
        <f>E15-E16</f>
        <v>325</v>
      </c>
      <c r="G15" s="206">
        <f>D73</f>
        <v>0.1079507785698037</v>
      </c>
      <c r="H15" s="202">
        <f t="shared" si="0"/>
        <v>35.0840030351862</v>
      </c>
      <c r="I15" s="136">
        <f>D36</f>
        <v>0.17</v>
      </c>
      <c r="J15" s="124">
        <f t="shared" si="1"/>
        <v>55.250000000000007</v>
      </c>
      <c r="K15" s="201"/>
      <c r="L15" s="202"/>
      <c r="M15" s="133"/>
      <c r="N15" s="203"/>
      <c r="O15" s="100"/>
      <c r="P15" s="203"/>
      <c r="Q15" s="100"/>
      <c r="R15" s="203"/>
      <c r="S15" s="134"/>
      <c r="T15" s="203"/>
    </row>
    <row r="16" spans="2:20" ht="15" customHeight="1" x14ac:dyDescent="0.35">
      <c r="B16" s="44">
        <v>9</v>
      </c>
      <c r="C16" s="224" t="str">
        <f>D_M03!B16</f>
        <v xml:space="preserve">        Window 2 – Vinyl Frame Low-e Double</v>
      </c>
      <c r="D16" s="46" t="s">
        <v>37</v>
      </c>
      <c r="E16" s="133">
        <f>D_M03!G16</f>
        <v>75</v>
      </c>
      <c r="F16" s="205">
        <f>E16</f>
        <v>75</v>
      </c>
      <c r="G16" s="206">
        <f>D_M03!E16</f>
        <v>0.65</v>
      </c>
      <c r="H16" s="202">
        <f t="shared" si="0"/>
        <v>48.75</v>
      </c>
      <c r="I16" s="136">
        <f>D40</f>
        <v>0.5</v>
      </c>
      <c r="J16" s="124">
        <f t="shared" si="1"/>
        <v>37.5</v>
      </c>
      <c r="K16" s="201">
        <f>IF(E16&lt;=Selections!$C$33,0,E16)</f>
        <v>75</v>
      </c>
      <c r="L16" s="202">
        <f>E16</f>
        <v>75</v>
      </c>
      <c r="M16" s="136">
        <f>$G16</f>
        <v>0.65</v>
      </c>
      <c r="N16" s="202">
        <f>K16*M16</f>
        <v>48.75</v>
      </c>
      <c r="O16" s="134">
        <f>$G16</f>
        <v>0.65</v>
      </c>
      <c r="P16" s="202">
        <f>O16*L16</f>
        <v>48.75</v>
      </c>
      <c r="Q16" s="134">
        <f>D_M03!F16</f>
        <v>0.25</v>
      </c>
      <c r="R16" s="202">
        <f>K16*Q16</f>
        <v>18.75</v>
      </c>
      <c r="S16" s="134">
        <f t="shared" si="2"/>
        <v>0.25</v>
      </c>
      <c r="T16" s="202">
        <f>S16*L16</f>
        <v>18.75</v>
      </c>
    </row>
    <row r="17" spans="2:20" ht="15" customHeight="1" x14ac:dyDescent="0.35">
      <c r="B17" s="44">
        <v>10</v>
      </c>
      <c r="C17" s="224" t="str">
        <f>D_M03!B17</f>
        <v>Wall 3 –faces South,  insulated core CBS</v>
      </c>
      <c r="D17" s="46" t="s">
        <v>36</v>
      </c>
      <c r="E17" s="133">
        <f>D_M03!G17</f>
        <v>400</v>
      </c>
      <c r="F17" s="205">
        <f>E17-E18</f>
        <v>385</v>
      </c>
      <c r="G17" s="206">
        <f>D73</f>
        <v>0.1079507785698037</v>
      </c>
      <c r="H17" s="202">
        <f t="shared" si="0"/>
        <v>41.561049749374426</v>
      </c>
      <c r="I17" s="136">
        <f>D36</f>
        <v>0.17</v>
      </c>
      <c r="J17" s="124">
        <f t="shared" si="1"/>
        <v>65.45</v>
      </c>
      <c r="K17" s="201"/>
      <c r="L17" s="202"/>
      <c r="M17" s="133"/>
      <c r="N17" s="203"/>
      <c r="O17" s="100"/>
      <c r="P17" s="203"/>
      <c r="Q17" s="100"/>
      <c r="R17" s="203"/>
      <c r="S17" s="134"/>
      <c r="T17" s="203"/>
    </row>
    <row r="18" spans="2:20" ht="15" customHeight="1" x14ac:dyDescent="0.35">
      <c r="B18" s="44">
        <v>11</v>
      </c>
      <c r="C18" s="224" t="str">
        <f>D_M03!B18</f>
        <v xml:space="preserve">        Window 3 – Vinyl Frame Low-e Double</v>
      </c>
      <c r="D18" s="46" t="s">
        <v>37</v>
      </c>
      <c r="E18" s="133">
        <f>D_M03!G18</f>
        <v>15</v>
      </c>
      <c r="F18" s="205">
        <f>E18</f>
        <v>15</v>
      </c>
      <c r="G18" s="206">
        <f>D_M03!E18</f>
        <v>0.65</v>
      </c>
      <c r="H18" s="202">
        <f t="shared" si="0"/>
        <v>9.75</v>
      </c>
      <c r="I18" s="136">
        <f>D40</f>
        <v>0.5</v>
      </c>
      <c r="J18" s="124">
        <f t="shared" si="1"/>
        <v>7.5</v>
      </c>
      <c r="K18" s="201">
        <f>E18</f>
        <v>15</v>
      </c>
      <c r="L18" s="202">
        <f>E18</f>
        <v>15</v>
      </c>
      <c r="M18" s="136">
        <f>$G18</f>
        <v>0.65</v>
      </c>
      <c r="N18" s="202">
        <f>K18*M18</f>
        <v>9.75</v>
      </c>
      <c r="O18" s="134">
        <f>$G18</f>
        <v>0.65</v>
      </c>
      <c r="P18" s="202">
        <f>O18*L18</f>
        <v>9.75</v>
      </c>
      <c r="Q18" s="134">
        <f>D_M03!F18</f>
        <v>0.25</v>
      </c>
      <c r="R18" s="202">
        <f>K18*Q18</f>
        <v>3.75</v>
      </c>
      <c r="S18" s="134">
        <f t="shared" si="2"/>
        <v>0.25</v>
      </c>
      <c r="T18" s="202">
        <f>S18*L18</f>
        <v>3.75</v>
      </c>
    </row>
    <row r="19" spans="2:20" ht="15" customHeight="1" x14ac:dyDescent="0.35">
      <c r="B19" s="44">
        <v>12</v>
      </c>
      <c r="C19" s="224" t="str">
        <f>D_M03!B19</f>
        <v>Wall 4 –faces South, Wood3 2x4 Stud</v>
      </c>
      <c r="D19" s="46" t="s">
        <v>36</v>
      </c>
      <c r="E19" s="133">
        <f>D_M03!G19</f>
        <v>100</v>
      </c>
      <c r="F19" s="205">
        <f>E19-E20</f>
        <v>40</v>
      </c>
      <c r="G19" s="206">
        <f>D88</f>
        <v>8.6865673938545357E-2</v>
      </c>
      <c r="H19" s="202">
        <f t="shared" si="0"/>
        <v>3.4746269575418145</v>
      </c>
      <c r="I19" s="136">
        <f>D37</f>
        <v>8.2000000000000003E-2</v>
      </c>
      <c r="J19" s="124">
        <f t="shared" si="1"/>
        <v>3.2800000000000002</v>
      </c>
      <c r="K19" s="201"/>
      <c r="L19" s="202"/>
      <c r="M19" s="133"/>
      <c r="N19" s="203"/>
      <c r="O19" s="100"/>
      <c r="P19" s="203"/>
      <c r="Q19" s="100"/>
      <c r="R19" s="203"/>
      <c r="S19" s="134"/>
      <c r="T19" s="203"/>
    </row>
    <row r="20" spans="2:20" ht="15" customHeight="1" x14ac:dyDescent="0.35">
      <c r="B20" s="44">
        <v>13</v>
      </c>
      <c r="C20" s="224" t="str">
        <f>D_M03!B20</f>
        <v xml:space="preserve">        Window 4 – Vinyl Frame  Low-e Double</v>
      </c>
      <c r="D20" s="46" t="s">
        <v>37</v>
      </c>
      <c r="E20" s="133">
        <f>D_M03!G20</f>
        <v>60</v>
      </c>
      <c r="F20" s="205">
        <f>E20</f>
        <v>60</v>
      </c>
      <c r="G20" s="206">
        <f>D_M03!E20</f>
        <v>0.65</v>
      </c>
      <c r="H20" s="202">
        <f t="shared" si="0"/>
        <v>39</v>
      </c>
      <c r="I20" s="136">
        <f>D40</f>
        <v>0.5</v>
      </c>
      <c r="J20" s="124">
        <f t="shared" si="1"/>
        <v>30</v>
      </c>
      <c r="K20" s="201">
        <f>IF(E20&lt;=Selections!$C$33,0,E20)</f>
        <v>60</v>
      </c>
      <c r="L20" s="202">
        <f>E20</f>
        <v>60</v>
      </c>
      <c r="M20" s="136">
        <f>$G20</f>
        <v>0.65</v>
      </c>
      <c r="N20" s="202">
        <f>K20*M20</f>
        <v>39</v>
      </c>
      <c r="O20" s="134">
        <f>$G20</f>
        <v>0.65</v>
      </c>
      <c r="P20" s="202">
        <f>O20*L20</f>
        <v>39</v>
      </c>
      <c r="Q20" s="134">
        <f>D_M03!F20</f>
        <v>0.25</v>
      </c>
      <c r="R20" s="202">
        <f>K20*Q20</f>
        <v>15</v>
      </c>
      <c r="S20" s="134">
        <f t="shared" si="2"/>
        <v>0.25</v>
      </c>
      <c r="T20" s="202">
        <f>S20*L20</f>
        <v>15</v>
      </c>
    </row>
    <row r="21" spans="2:20" ht="15" customHeight="1" x14ac:dyDescent="0.35">
      <c r="B21" s="44">
        <v>14</v>
      </c>
      <c r="C21" s="224" t="str">
        <f>D_M03!B21</f>
        <v>Wall 5 –faces West,  insulated core CBS</v>
      </c>
      <c r="D21" s="46" t="s">
        <v>36</v>
      </c>
      <c r="E21" s="133">
        <f>D_M03!G21</f>
        <v>400</v>
      </c>
      <c r="F21" s="205">
        <f>E21-E22</f>
        <v>325</v>
      </c>
      <c r="G21" s="206">
        <f>D73</f>
        <v>0.1079507785698037</v>
      </c>
      <c r="H21" s="202">
        <f t="shared" si="0"/>
        <v>35.0840030351862</v>
      </c>
      <c r="I21" s="136">
        <f>D36</f>
        <v>0.17</v>
      </c>
      <c r="J21" s="124">
        <f t="shared" si="1"/>
        <v>55.250000000000007</v>
      </c>
      <c r="K21" s="201"/>
      <c r="L21" s="202"/>
      <c r="M21" s="133"/>
      <c r="N21" s="203"/>
      <c r="O21" s="100"/>
      <c r="P21" s="203"/>
      <c r="Q21" s="100"/>
      <c r="R21" s="203"/>
      <c r="S21" s="134"/>
      <c r="T21" s="203"/>
    </row>
    <row r="22" spans="2:20" ht="15" customHeight="1" x14ac:dyDescent="0.35">
      <c r="B22" s="52">
        <v>15</v>
      </c>
      <c r="C22" s="225" t="str">
        <f>D_M03!B22</f>
        <v xml:space="preserve">        Window 5 – Vinyl Frame Low-e Double</v>
      </c>
      <c r="D22" s="53" t="s">
        <v>37</v>
      </c>
      <c r="E22" s="207">
        <f>D_M03!G22</f>
        <v>75</v>
      </c>
      <c r="F22" s="208">
        <f>E22</f>
        <v>75</v>
      </c>
      <c r="G22" s="209">
        <f>D_M03!E22</f>
        <v>0.65</v>
      </c>
      <c r="H22" s="204">
        <f t="shared" si="0"/>
        <v>48.75</v>
      </c>
      <c r="I22" s="125">
        <f>D40</f>
        <v>0.5</v>
      </c>
      <c r="J22" s="210">
        <f t="shared" si="1"/>
        <v>37.5</v>
      </c>
      <c r="K22" s="201">
        <f>IF(E22&lt;=Selections!$C$33,0,E22)</f>
        <v>75</v>
      </c>
      <c r="L22" s="204">
        <f>E22</f>
        <v>75</v>
      </c>
      <c r="M22" s="136">
        <f>$G22</f>
        <v>0.65</v>
      </c>
      <c r="N22" s="202">
        <f>K22*M22</f>
        <v>48.75</v>
      </c>
      <c r="O22" s="134">
        <f>$G22</f>
        <v>0.65</v>
      </c>
      <c r="P22" s="202">
        <f>O22*L22</f>
        <v>48.75</v>
      </c>
      <c r="Q22" s="134">
        <f>D_M03!F22</f>
        <v>0.25</v>
      </c>
      <c r="R22" s="202">
        <f>K22*Q22</f>
        <v>18.75</v>
      </c>
      <c r="S22" s="134">
        <f t="shared" si="2"/>
        <v>0.25</v>
      </c>
      <c r="T22" s="202">
        <f>S22*L22</f>
        <v>18.75</v>
      </c>
    </row>
    <row r="23" spans="2:20" ht="3.75" customHeight="1" x14ac:dyDescent="0.35">
      <c r="B23" s="35"/>
      <c r="C23" s="54"/>
      <c r="D23" s="55"/>
      <c r="E23" s="36"/>
      <c r="F23" s="56"/>
      <c r="G23" s="55"/>
      <c r="H23" s="56"/>
      <c r="I23" s="36"/>
      <c r="J23" s="36"/>
      <c r="K23" s="55"/>
      <c r="L23" s="56"/>
      <c r="M23" s="57"/>
      <c r="N23" s="58"/>
      <c r="O23" s="54"/>
      <c r="P23" s="58"/>
      <c r="Q23" s="54"/>
      <c r="R23" s="58"/>
      <c r="S23" s="54"/>
      <c r="T23" s="58"/>
    </row>
    <row r="24" spans="2:20" ht="15.5" x14ac:dyDescent="0.35">
      <c r="B24" s="59"/>
      <c r="C24" s="60" t="s">
        <v>134</v>
      </c>
      <c r="D24" s="61"/>
      <c r="E24" s="57"/>
      <c r="F24" s="58"/>
      <c r="G24" s="61"/>
      <c r="H24" s="453">
        <f>SUM(H10:H22)</f>
        <v>454.55513178340965</v>
      </c>
      <c r="I24" s="460"/>
      <c r="J24" s="455">
        <f>SUM(J10:J22)</f>
        <v>486.54999999999995</v>
      </c>
      <c r="K24" s="456">
        <f>SUM(K10:K22)</f>
        <v>300</v>
      </c>
      <c r="L24" s="453">
        <f>SUM(L10:L22)</f>
        <v>334</v>
      </c>
      <c r="M24" s="457">
        <f>N24/K24</f>
        <v>0.65</v>
      </c>
      <c r="N24" s="453">
        <f>SUM(N10:N22)</f>
        <v>195</v>
      </c>
      <c r="O24" s="458">
        <f>P24/L24</f>
        <v>0.65299401197604789</v>
      </c>
      <c r="P24" s="453">
        <f>SUM(P10:P22)</f>
        <v>218.1</v>
      </c>
      <c r="Q24" s="458">
        <f>R24/K24</f>
        <v>0.25</v>
      </c>
      <c r="R24" s="453">
        <f>SUM(R10:R22)</f>
        <v>75</v>
      </c>
      <c r="S24" s="458">
        <f>T24/(L24-L13)</f>
        <v>0.25</v>
      </c>
      <c r="T24" s="453">
        <f>SUM(T10:T22)</f>
        <v>77.5</v>
      </c>
    </row>
    <row r="25" spans="2:20" ht="9.75" customHeight="1" x14ac:dyDescent="0.35">
      <c r="B25" s="62"/>
      <c r="C25" s="63"/>
      <c r="D25" s="64"/>
      <c r="E25" s="64"/>
      <c r="F25" s="64"/>
      <c r="G25" s="64"/>
      <c r="H25" s="65"/>
      <c r="I25" s="66"/>
      <c r="J25" s="65"/>
      <c r="K25" s="65"/>
      <c r="L25" s="65"/>
      <c r="M25" s="67"/>
      <c r="N25" s="65"/>
      <c r="O25" s="67"/>
      <c r="P25" s="65"/>
      <c r="Q25" s="67"/>
      <c r="R25" s="65"/>
      <c r="S25" s="67"/>
      <c r="T25" s="65"/>
    </row>
    <row r="26" spans="2:20" ht="45" customHeight="1" x14ac:dyDescent="0.35">
      <c r="B26" s="62"/>
      <c r="C26" s="212" t="str">
        <f>Selections!B25</f>
        <v>UA allowed deviation range in %</v>
      </c>
      <c r="D26" s="221">
        <f>Selections!C25</f>
        <v>0.02</v>
      </c>
      <c r="E26" s="69"/>
      <c r="G26" s="34" t="s">
        <v>136</v>
      </c>
      <c r="H26" s="144" t="s">
        <v>231</v>
      </c>
      <c r="J26" s="144" t="s">
        <v>230</v>
      </c>
      <c r="M26" s="144" t="s">
        <v>229</v>
      </c>
      <c r="N26" s="144" t="s">
        <v>231</v>
      </c>
      <c r="O26" s="144" t="s">
        <v>229</v>
      </c>
      <c r="P26" s="144" t="s">
        <v>231</v>
      </c>
      <c r="Q26" s="144" t="s">
        <v>232</v>
      </c>
      <c r="R26" s="144" t="s">
        <v>233</v>
      </c>
      <c r="S26" s="144" t="s">
        <v>232</v>
      </c>
      <c r="T26" s="144" t="s">
        <v>233</v>
      </c>
    </row>
    <row r="27" spans="2:20" x14ac:dyDescent="0.35">
      <c r="C27" s="212" t="str">
        <f>Selections!B26</f>
        <v>U-Factor allowed deviation range absolute</v>
      </c>
      <c r="D27" s="222">
        <f>Selections!C26</f>
        <v>5.0000000000000001E-3</v>
      </c>
      <c r="G27" s="34" t="s">
        <v>138</v>
      </c>
      <c r="H27" s="211">
        <f>H24-(H24*$D$26)</f>
        <v>445.46402914774148</v>
      </c>
      <c r="J27" s="211">
        <f>J24-(J24*$D$26)</f>
        <v>476.81899999999996</v>
      </c>
      <c r="K27" s="212"/>
      <c r="L27" s="212"/>
      <c r="M27" s="213">
        <f>M$24-$D$27</f>
        <v>0.64500000000000002</v>
      </c>
      <c r="N27" s="214">
        <f>N$24-$D$26*N$24</f>
        <v>191.1</v>
      </c>
      <c r="O27" s="215">
        <f>O$24-$D$27</f>
        <v>0.64799401197604789</v>
      </c>
      <c r="P27" s="214">
        <f>P$24-$D$26*P$24</f>
        <v>213.738</v>
      </c>
      <c r="Q27" s="215">
        <f>Q$24-$D$28</f>
        <v>0.245</v>
      </c>
      <c r="R27" s="214">
        <f>R$24-$D$26*R$24</f>
        <v>73.5</v>
      </c>
      <c r="S27" s="215">
        <f>S$24-$D$28</f>
        <v>0.245</v>
      </c>
      <c r="T27" s="214">
        <f>T$24-$D$26*T$24</f>
        <v>75.95</v>
      </c>
    </row>
    <row r="28" spans="2:20" x14ac:dyDescent="0.35">
      <c r="C28" s="212" t="str">
        <f>Selections!B27</f>
        <v>SHGC allowed deviation range absolute</v>
      </c>
      <c r="D28" s="222">
        <f>Selections!C27</f>
        <v>5.0000000000000001E-3</v>
      </c>
      <c r="G28" s="34" t="s">
        <v>140</v>
      </c>
      <c r="H28" s="211">
        <f>H24*(1+$D$26)</f>
        <v>463.64623441907787</v>
      </c>
      <c r="J28" s="211">
        <f>J24*(1+$D$26)</f>
        <v>496.28099999999995</v>
      </c>
      <c r="K28" s="212"/>
      <c r="L28" s="212"/>
      <c r="M28" s="213">
        <f>M$24+$D$27</f>
        <v>0.65500000000000003</v>
      </c>
      <c r="N28" s="214">
        <f>N$24+$D$26*N$24</f>
        <v>198.9</v>
      </c>
      <c r="O28" s="215">
        <f>O$24+$D$28</f>
        <v>0.6579940119760479</v>
      </c>
      <c r="P28" s="214">
        <f>P$24+$D$26*P$24</f>
        <v>222.46199999999999</v>
      </c>
      <c r="Q28" s="215">
        <f>Q$24+$D$28</f>
        <v>0.255</v>
      </c>
      <c r="R28" s="214">
        <f>R$24+$D$26*R$24</f>
        <v>76.5</v>
      </c>
      <c r="S28" s="215">
        <f>S$24+$D$28</f>
        <v>0.255</v>
      </c>
      <c r="T28" s="214">
        <f>T$24+$D$26*T$24</f>
        <v>79.05</v>
      </c>
    </row>
    <row r="29" spans="2:20" x14ac:dyDescent="0.35">
      <c r="D29" s="34"/>
      <c r="G29" s="34"/>
      <c r="I29" s="70"/>
      <c r="J29" s="70"/>
      <c r="M29" s="71"/>
      <c r="N29" s="72"/>
      <c r="O29" s="73"/>
      <c r="P29" s="72"/>
      <c r="Q29" s="73"/>
      <c r="R29" s="72"/>
      <c r="S29" s="73"/>
      <c r="T29" s="72"/>
    </row>
    <row r="30" spans="2:20" ht="13.5" customHeight="1" x14ac:dyDescent="0.35">
      <c r="B30" s="33" t="s">
        <v>241</v>
      </c>
      <c r="G30" s="305" t="s">
        <v>425</v>
      </c>
      <c r="H30" s="449">
        <f>SUM(H14,H16,H18,H20,H22+H11)</f>
        <v>202.5</v>
      </c>
      <c r="J30" s="449">
        <f>SUM(J14,J16,J18,J20,J22+J11)</f>
        <v>157.5</v>
      </c>
    </row>
    <row r="31" spans="2:20" ht="19.5" customHeight="1" x14ac:dyDescent="0.35">
      <c r="B31" s="239" t="s">
        <v>259</v>
      </c>
      <c r="C31" s="60"/>
      <c r="D31" s="240"/>
      <c r="E31" s="64"/>
      <c r="F31" s="64"/>
      <c r="G31" s="64" t="s">
        <v>427</v>
      </c>
      <c r="H31" s="461">
        <f>1*H13</f>
        <v>15.600000000000001</v>
      </c>
      <c r="I31" s="449"/>
      <c r="J31" s="461">
        <f>1*J13</f>
        <v>12</v>
      </c>
      <c r="K31" s="449"/>
      <c r="L31" s="449"/>
      <c r="M31" s="448"/>
      <c r="N31" s="449"/>
      <c r="O31" s="448"/>
      <c r="P31" s="449"/>
      <c r="Q31" s="448"/>
      <c r="R31" s="449"/>
      <c r="S31" s="448"/>
      <c r="T31" s="449"/>
    </row>
    <row r="32" spans="2:20" ht="43.5" customHeight="1" x14ac:dyDescent="0.35">
      <c r="B32" s="74"/>
      <c r="C32" s="75" t="s">
        <v>141</v>
      </c>
      <c r="D32" s="76" t="s">
        <v>234</v>
      </c>
      <c r="F32" s="69"/>
      <c r="G32" s="320" t="s">
        <v>426</v>
      </c>
      <c r="H32" s="471">
        <f>SUM(H12,H15,H17,H19,H21)</f>
        <v>158.49194498377992</v>
      </c>
      <c r="J32" s="471">
        <f>SUM(J12,J15,J17,J19,J21)</f>
        <v>247.4</v>
      </c>
    </row>
    <row r="33" spans="2:10" x14ac:dyDescent="0.35">
      <c r="B33" s="78">
        <v>1</v>
      </c>
      <c r="C33" s="79" t="s">
        <v>30</v>
      </c>
      <c r="D33" s="93">
        <v>6.4000000000000001E-2</v>
      </c>
      <c r="G33" s="305" t="s">
        <v>428</v>
      </c>
      <c r="H33" s="449">
        <f>H8</f>
        <v>0</v>
      </c>
      <c r="J33" s="449">
        <f>J8</f>
        <v>0</v>
      </c>
    </row>
    <row r="34" spans="2:10" x14ac:dyDescent="0.35">
      <c r="B34" s="78">
        <v>2</v>
      </c>
      <c r="C34" s="79" t="s">
        <v>33</v>
      </c>
      <c r="D34" s="93"/>
      <c r="G34" s="305" t="s">
        <v>34</v>
      </c>
      <c r="H34" s="449">
        <f>H10</f>
        <v>77.963186799629696</v>
      </c>
      <c r="J34" s="449">
        <f>J10</f>
        <v>69.650000000000006</v>
      </c>
    </row>
    <row r="35" spans="2:10" x14ac:dyDescent="0.35">
      <c r="B35" s="78">
        <v>3</v>
      </c>
      <c r="C35" s="283" t="s">
        <v>416</v>
      </c>
      <c r="D35" s="93">
        <v>3.5000000000000003E-2</v>
      </c>
    </row>
    <row r="36" spans="2:10" x14ac:dyDescent="0.35">
      <c r="B36" s="78">
        <v>4</v>
      </c>
      <c r="C36" s="79" t="s">
        <v>143</v>
      </c>
      <c r="D36" s="147">
        <v>0.17</v>
      </c>
    </row>
    <row r="37" spans="2:10" x14ac:dyDescent="0.35">
      <c r="B37" s="78">
        <v>5</v>
      </c>
      <c r="C37" s="79" t="s">
        <v>144</v>
      </c>
      <c r="D37" s="93">
        <v>8.2000000000000003E-2</v>
      </c>
    </row>
    <row r="38" spans="2:10" x14ac:dyDescent="0.35">
      <c r="B38" s="78">
        <v>6</v>
      </c>
      <c r="C38" s="79" t="s">
        <v>35</v>
      </c>
      <c r="D38" s="91">
        <v>0.75</v>
      </c>
    </row>
    <row r="39" spans="2:10" x14ac:dyDescent="0.35">
      <c r="B39" s="78">
        <v>7</v>
      </c>
      <c r="C39" s="79" t="s">
        <v>38</v>
      </c>
      <c r="D39" s="91">
        <v>0.5</v>
      </c>
    </row>
    <row r="40" spans="2:10" x14ac:dyDescent="0.35">
      <c r="B40" s="83">
        <v>8</v>
      </c>
      <c r="C40" s="84" t="s">
        <v>145</v>
      </c>
      <c r="D40" s="148">
        <v>0.5</v>
      </c>
    </row>
    <row r="41" spans="2:10" ht="13.5" customHeight="1" x14ac:dyDescent="0.35">
      <c r="B41" s="47"/>
    </row>
    <row r="42" spans="2:10" ht="13.5" customHeight="1" x14ac:dyDescent="0.35">
      <c r="B42" s="47"/>
    </row>
    <row r="43" spans="2:10" ht="30.75" customHeight="1" x14ac:dyDescent="0.35">
      <c r="B43" s="495" t="s">
        <v>436</v>
      </c>
      <c r="C43" s="257" t="s">
        <v>437</v>
      </c>
    </row>
    <row r="44" spans="2:10" ht="31.5" customHeight="1" x14ac:dyDescent="0.35">
      <c r="B44" s="35"/>
      <c r="C44" s="270" t="s">
        <v>146</v>
      </c>
      <c r="D44" s="99" t="s">
        <v>147</v>
      </c>
      <c r="E44" s="96" t="s">
        <v>148</v>
      </c>
      <c r="F44" s="54" t="s">
        <v>142</v>
      </c>
      <c r="G44" s="57"/>
      <c r="H44" s="77"/>
    </row>
    <row r="45" spans="2:10" x14ac:dyDescent="0.35">
      <c r="B45" s="35"/>
      <c r="C45" s="333" t="s">
        <v>442</v>
      </c>
      <c r="D45" s="123">
        <f>1-D_M03!C50</f>
        <v>0.92999999999999994</v>
      </c>
      <c r="E45" s="139">
        <f>D_M03!C50</f>
        <v>7.0000000000000007E-2</v>
      </c>
      <c r="G45" s="69"/>
      <c r="H45" s="82"/>
    </row>
    <row r="46" spans="2:10" s="305" customFormat="1" x14ac:dyDescent="0.35">
      <c r="B46" s="262">
        <v>1</v>
      </c>
      <c r="C46" s="237" t="str">
        <f>D_M03!B53</f>
        <v>Roof outside film R-Value</v>
      </c>
      <c r="D46" s="120">
        <f>D_M03!C53</f>
        <v>0.25</v>
      </c>
      <c r="E46" s="120">
        <f>D_M03!C53</f>
        <v>0.25</v>
      </c>
      <c r="G46" s="320"/>
      <c r="H46" s="321"/>
    </row>
    <row r="47" spans="2:10" s="305" customFormat="1" x14ac:dyDescent="0.35">
      <c r="B47" s="262">
        <v>2</v>
      </c>
      <c r="C47" s="237" t="str">
        <f>D_M03!B54</f>
        <v>Roof Skin R-Value</v>
      </c>
      <c r="D47" s="120">
        <f>D_M03!C54</f>
        <v>1.25</v>
      </c>
      <c r="E47" s="120">
        <f>D_M03!C54</f>
        <v>1.25</v>
      </c>
      <c r="G47" s="320"/>
      <c r="H47" s="321"/>
    </row>
    <row r="48" spans="2:10" s="305" customFormat="1" x14ac:dyDescent="0.35">
      <c r="B48" s="262">
        <v>3</v>
      </c>
      <c r="C48" s="237" t="str">
        <f>D_M03!B55</f>
        <v>Roof Inside Film Slope Down R-Value</v>
      </c>
      <c r="D48" s="120">
        <f>D_M03!C55</f>
        <v>0.76</v>
      </c>
      <c r="E48" s="120">
        <f>D_M03!C55</f>
        <v>0.76</v>
      </c>
      <c r="G48" s="320"/>
      <c r="H48" s="321"/>
    </row>
    <row r="49" spans="2:10" ht="15.75" customHeight="1" x14ac:dyDescent="0.35">
      <c r="B49" s="262">
        <v>4</v>
      </c>
      <c r="C49" s="237" t="str">
        <f>D_M03!B56</f>
        <v>Attic Air film</v>
      </c>
      <c r="D49" s="90">
        <f>D_M03!C56</f>
        <v>0.61</v>
      </c>
      <c r="E49" s="140">
        <f>D_M03!C56</f>
        <v>0.61</v>
      </c>
      <c r="F49" s="45"/>
      <c r="G49" s="69"/>
      <c r="H49" s="82"/>
    </row>
    <row r="50" spans="2:10" ht="15.75" customHeight="1" x14ac:dyDescent="0.35">
      <c r="B50" s="494">
        <v>5</v>
      </c>
      <c r="C50" s="493" t="str">
        <f>D_M03!B57</f>
        <v>Batt Insulation R30</v>
      </c>
      <c r="D50" s="490">
        <f>D_M03!C57</f>
        <v>30</v>
      </c>
      <c r="E50" s="491">
        <v>0</v>
      </c>
      <c r="F50" s="508" t="s">
        <v>435</v>
      </c>
      <c r="G50" s="509"/>
      <c r="H50" s="510"/>
    </row>
    <row r="51" spans="2:10" ht="15.75" customHeight="1" x14ac:dyDescent="0.35">
      <c r="B51" s="494">
        <v>6</v>
      </c>
      <c r="C51" s="493" t="str">
        <f>D_M03!B58</f>
        <v>Wood Stud 2 x 4: Nominal</v>
      </c>
      <c r="D51" s="490">
        <v>0</v>
      </c>
      <c r="E51" s="492">
        <f>D_M03!C58</f>
        <v>4.38</v>
      </c>
      <c r="F51" s="508"/>
      <c r="G51" s="509"/>
      <c r="H51" s="510"/>
    </row>
    <row r="52" spans="2:10" s="305" customFormat="1" ht="15.75" customHeight="1" x14ac:dyDescent="0.35">
      <c r="B52" s="262"/>
      <c r="C52" s="237" t="s">
        <v>434</v>
      </c>
      <c r="D52" s="298">
        <f>1/($D45/($D50+$D51)+$E45/($E50+$E51))</f>
        <v>21.284867334046069</v>
      </c>
      <c r="E52" s="298">
        <f>1/($D45/($D50+$D51)+$E45/($E50+$E51))</f>
        <v>21.284867334046069</v>
      </c>
      <c r="F52" s="497"/>
      <c r="G52" s="498"/>
      <c r="H52" s="499"/>
    </row>
    <row r="53" spans="2:10" ht="15.75" customHeight="1" x14ac:dyDescent="0.35">
      <c r="B53" s="262">
        <v>7</v>
      </c>
      <c r="C53" s="237" t="str">
        <f>D_M03!B59</f>
        <v xml:space="preserve">0.5 Inch Drywall </v>
      </c>
      <c r="D53" s="90">
        <f>D_M03!C59</f>
        <v>0.45</v>
      </c>
      <c r="E53" s="140">
        <f>D_M03!C59</f>
        <v>0.45</v>
      </c>
      <c r="F53" s="81"/>
      <c r="G53" s="69"/>
      <c r="H53" s="82"/>
    </row>
    <row r="54" spans="2:10" ht="15.75" customHeight="1" x14ac:dyDescent="0.35">
      <c r="B54" s="262">
        <v>8</v>
      </c>
      <c r="C54" s="237" t="str">
        <f>D_M03!B60</f>
        <v>Indoor Air film</v>
      </c>
      <c r="D54" s="90">
        <f>D_M03!C60</f>
        <v>0.92</v>
      </c>
      <c r="E54" s="140">
        <f>D_M03!C60</f>
        <v>0.92</v>
      </c>
      <c r="F54" s="81"/>
      <c r="G54" s="69"/>
      <c r="H54" s="82"/>
    </row>
    <row r="55" spans="2:10" ht="15.75" customHeight="1" x14ac:dyDescent="0.35">
      <c r="B55" s="44"/>
      <c r="C55" s="319" t="s">
        <v>429</v>
      </c>
      <c r="D55" s="298">
        <f>SUM(D46:D49,D52,D53:D54)</f>
        <v>25.524867334046071</v>
      </c>
      <c r="E55" s="298">
        <f>SUM(E46:E49,E52,E53:E54)</f>
        <v>25.524867334046071</v>
      </c>
      <c r="F55" s="81"/>
      <c r="G55" s="69"/>
      <c r="H55" s="82"/>
    </row>
    <row r="56" spans="2:10" ht="15.75" customHeight="1" x14ac:dyDescent="0.35">
      <c r="B56" s="479"/>
      <c r="C56" s="480" t="s">
        <v>430</v>
      </c>
      <c r="D56" s="481">
        <f>IF(D55&gt;0, 1/D55, 0)</f>
        <v>3.9177480803834021E-2</v>
      </c>
      <c r="E56" s="482">
        <f>IF(E55&gt;0, 1/E55, 0)</f>
        <v>3.9177480803834021E-2</v>
      </c>
      <c r="F56" s="483"/>
      <c r="G56" s="484"/>
      <c r="H56" s="485"/>
    </row>
    <row r="57" spans="2:10" ht="18" customHeight="1" x14ac:dyDescent="0.35">
      <c r="B57" s="44"/>
      <c r="C57" s="327" t="s">
        <v>160</v>
      </c>
      <c r="D57" s="118">
        <f>IF(D56=E56,D56,0)</f>
        <v>3.9177480803834021E-2</v>
      </c>
      <c r="E57" s="321"/>
      <c r="F57" s="81" t="s">
        <v>81</v>
      </c>
      <c r="G57" s="69"/>
      <c r="H57" s="82"/>
      <c r="J57" s="305" t="s">
        <v>439</v>
      </c>
    </row>
    <row r="58" spans="2:10" ht="18" customHeight="1" x14ac:dyDescent="0.35">
      <c r="B58" s="52"/>
      <c r="C58" s="323" t="s">
        <v>161</v>
      </c>
      <c r="D58" s="489">
        <f>IF(D57&gt;0,1/D57,0)</f>
        <v>25.524867334046071</v>
      </c>
      <c r="E58" s="325"/>
      <c r="F58" s="85"/>
      <c r="G58" s="86"/>
      <c r="H58" s="87"/>
    </row>
    <row r="59" spans="2:10" x14ac:dyDescent="0.35">
      <c r="B59" s="34"/>
      <c r="F59" s="69"/>
      <c r="G59" s="69"/>
      <c r="H59" s="69"/>
    </row>
    <row r="60" spans="2:10" x14ac:dyDescent="0.35">
      <c r="B60" s="34"/>
      <c r="F60" s="69"/>
      <c r="G60" s="69"/>
      <c r="H60" s="69"/>
    </row>
    <row r="61" spans="2:10" x14ac:dyDescent="0.35">
      <c r="B61" s="34"/>
      <c r="F61" s="69"/>
      <c r="G61" s="69"/>
      <c r="H61" s="69"/>
    </row>
    <row r="62" spans="2:10" ht="33.75" customHeight="1" x14ac:dyDescent="0.35">
      <c r="B62" s="34" t="s">
        <v>36</v>
      </c>
      <c r="C62" s="88" t="s">
        <v>240</v>
      </c>
      <c r="F62" s="69"/>
      <c r="G62" s="69"/>
      <c r="H62" s="69"/>
    </row>
    <row r="63" spans="2:10" ht="29.25" customHeight="1" x14ac:dyDescent="0.35">
      <c r="B63" s="54"/>
      <c r="C63" s="95" t="s">
        <v>146</v>
      </c>
      <c r="D63" s="96" t="s">
        <v>212</v>
      </c>
      <c r="E63" s="97"/>
      <c r="F63" s="54" t="s">
        <v>142</v>
      </c>
      <c r="G63" s="57"/>
      <c r="H63" s="77"/>
    </row>
    <row r="64" spans="2:10" x14ac:dyDescent="0.35">
      <c r="B64" s="37">
        <v>1</v>
      </c>
      <c r="C64" s="227" t="str">
        <f>D_M03!B67</f>
        <v>Outside Air Film (7.5 mph wind, Summer)</v>
      </c>
      <c r="D64" s="117">
        <f>D_M03!C67</f>
        <v>0.25</v>
      </c>
      <c r="E64" s="143"/>
      <c r="G64" s="69"/>
      <c r="H64" s="82"/>
    </row>
    <row r="65" spans="2:8" x14ac:dyDescent="0.35">
      <c r="B65" s="44">
        <v>2</v>
      </c>
      <c r="C65" s="237" t="str">
        <f>D_M03!B68</f>
        <v>Stucco (0.8 Inch thick, conductivity=9.7 Btu-in/h-ft2-°F)</v>
      </c>
      <c r="D65" s="118">
        <f>D_M03!C68</f>
        <v>8.2474226804123724E-2</v>
      </c>
      <c r="E65" s="82"/>
      <c r="F65" s="81"/>
      <c r="G65" s="69"/>
      <c r="H65" s="82"/>
    </row>
    <row r="66" spans="2:8" x14ac:dyDescent="0.35">
      <c r="B66" s="44">
        <v>3</v>
      </c>
      <c r="C66" s="237" t="str">
        <f>D_M03!B69</f>
        <v>lath</v>
      </c>
      <c r="D66" s="119">
        <f>D_M03!C69</f>
        <v>0</v>
      </c>
      <c r="E66" s="82"/>
      <c r="F66" s="81"/>
      <c r="G66" s="69"/>
      <c r="H66" s="82"/>
    </row>
    <row r="67" spans="2:8" x14ac:dyDescent="0.35">
      <c r="B67" s="44">
        <v>4</v>
      </c>
      <c r="C67" s="237" t="str">
        <f>D_M03!B70</f>
        <v>8 Inch Insulated Concrete Block (Normal Density)</v>
      </c>
      <c r="D67" s="90">
        <f>D_M03!C109</f>
        <v>2.5810069008782937</v>
      </c>
      <c r="E67" s="82"/>
      <c r="F67" s="81"/>
      <c r="G67" s="69"/>
      <c r="H67" s="82"/>
    </row>
    <row r="68" spans="2:8" x14ac:dyDescent="0.35">
      <c r="B68" s="44">
        <v>5</v>
      </c>
      <c r="C68" s="237" t="str">
        <f>D_M03!B71</f>
        <v>0.75 Inch R4 Insulation Board</v>
      </c>
      <c r="D68" s="119">
        <f>D_M03!C71</f>
        <v>4</v>
      </c>
      <c r="E68" s="82"/>
      <c r="F68" s="81"/>
      <c r="G68" s="69"/>
      <c r="H68" s="82"/>
    </row>
    <row r="69" spans="2:8" x14ac:dyDescent="0.35">
      <c r="B69" s="44">
        <v>6</v>
      </c>
      <c r="C69" s="237" t="str">
        <f>D_M03!B72</f>
        <v>0.75 Inch Air Space with Furring at 16" on center</v>
      </c>
      <c r="D69" s="120">
        <f>D_M03!C72</f>
        <v>1.22</v>
      </c>
      <c r="E69" s="82"/>
      <c r="F69" s="81"/>
      <c r="G69" s="69"/>
      <c r="H69" s="82"/>
    </row>
    <row r="70" spans="2:8" x14ac:dyDescent="0.35">
      <c r="B70" s="44">
        <v>7</v>
      </c>
      <c r="C70" s="237" t="str">
        <f>D_M03!B73</f>
        <v xml:space="preserve">0.5 Inch Drywall </v>
      </c>
      <c r="D70" s="120">
        <f>D_M03!C73</f>
        <v>0.45</v>
      </c>
      <c r="E70" s="82"/>
      <c r="F70" s="81"/>
      <c r="G70" s="69"/>
      <c r="H70" s="82"/>
    </row>
    <row r="71" spans="2:8" x14ac:dyDescent="0.35">
      <c r="B71" s="52">
        <v>8</v>
      </c>
      <c r="C71" s="238" t="str">
        <f>D_M03!B74</f>
        <v>Indoor Air Film</v>
      </c>
      <c r="D71" s="121">
        <f>D_M03!C74</f>
        <v>0.68</v>
      </c>
      <c r="E71" s="87"/>
      <c r="F71" s="81"/>
      <c r="G71" s="69"/>
      <c r="H71" s="82"/>
    </row>
    <row r="72" spans="2:8" ht="17.25" customHeight="1" x14ac:dyDescent="0.35">
      <c r="B72" s="44"/>
      <c r="C72" s="80" t="s">
        <v>161</v>
      </c>
      <c r="D72" s="90">
        <f>SUM(D64:D71)</f>
        <v>9.2634811276824163</v>
      </c>
      <c r="E72" s="82"/>
      <c r="F72" s="81" t="s">
        <v>118</v>
      </c>
      <c r="G72" s="69"/>
      <c r="H72" s="82"/>
    </row>
    <row r="73" spans="2:8" ht="20.25" customHeight="1" x14ac:dyDescent="0.35">
      <c r="B73" s="52"/>
      <c r="C73" s="92" t="s">
        <v>160</v>
      </c>
      <c r="D73" s="122">
        <f>1/D72</f>
        <v>0.1079507785698037</v>
      </c>
      <c r="E73" s="87"/>
      <c r="F73" s="85"/>
      <c r="G73" s="86"/>
      <c r="H73" s="87"/>
    </row>
    <row r="74" spans="2:8" ht="18" customHeight="1" x14ac:dyDescent="0.35">
      <c r="F74" s="69"/>
      <c r="G74" s="69"/>
      <c r="H74" s="69"/>
    </row>
    <row r="75" spans="2:8" ht="18" customHeight="1" x14ac:dyDescent="0.35">
      <c r="F75" s="69"/>
      <c r="G75" s="69"/>
      <c r="H75" s="69"/>
    </row>
    <row r="76" spans="2:8" ht="35.25" customHeight="1" x14ac:dyDescent="0.35">
      <c r="B76" s="33" t="s">
        <v>36</v>
      </c>
      <c r="C76" s="88" t="s">
        <v>239</v>
      </c>
      <c r="F76" s="69"/>
      <c r="G76" s="69"/>
      <c r="H76" s="69"/>
    </row>
    <row r="77" spans="2:8" ht="33" customHeight="1" x14ac:dyDescent="0.35">
      <c r="B77" s="54"/>
      <c r="C77" s="95" t="s">
        <v>146</v>
      </c>
      <c r="D77" s="99" t="s">
        <v>147</v>
      </c>
      <c r="E77" s="96" t="s">
        <v>148</v>
      </c>
      <c r="F77" s="54" t="s">
        <v>142</v>
      </c>
      <c r="G77" s="57"/>
      <c r="H77" s="77"/>
    </row>
    <row r="78" spans="2:8" x14ac:dyDescent="0.35">
      <c r="B78" s="35"/>
      <c r="C78" s="89" t="s">
        <v>150</v>
      </c>
      <c r="D78" s="132">
        <f>1-D_M03!C79</f>
        <v>0.75</v>
      </c>
      <c r="E78" s="123">
        <f>D_M03!C79</f>
        <v>0.25</v>
      </c>
      <c r="G78" s="69"/>
      <c r="H78" s="82"/>
    </row>
    <row r="79" spans="2:8" x14ac:dyDescent="0.35">
      <c r="B79" s="44">
        <v>1</v>
      </c>
      <c r="C79" s="237" t="str">
        <f>D_M03!B83</f>
        <v>Outside Air Film (7.5 mph wind, Summer)</v>
      </c>
      <c r="D79" s="100">
        <f>D_M03!C83</f>
        <v>0.25</v>
      </c>
      <c r="E79" s="120">
        <f>D_M03!C83</f>
        <v>0.25</v>
      </c>
      <c r="F79" s="81"/>
      <c r="G79" s="69"/>
      <c r="H79" s="82"/>
    </row>
    <row r="80" spans="2:8" x14ac:dyDescent="0.35">
      <c r="B80" s="44">
        <v>2</v>
      </c>
      <c r="C80" s="237" t="str">
        <f>D_M03!B84</f>
        <v>Stucco (0.8 Inch thick, conductivity=9.7 Btu-in/h-ft2-°F)</v>
      </c>
      <c r="D80" s="118">
        <f>D_M03!C84</f>
        <v>8.2474226804123724E-2</v>
      </c>
      <c r="E80" s="118">
        <f>D_M03!C84</f>
        <v>8.2474226804123724E-2</v>
      </c>
      <c r="F80" s="81"/>
      <c r="G80" s="69"/>
      <c r="H80" s="82"/>
    </row>
    <row r="81" spans="2:8" x14ac:dyDescent="0.35">
      <c r="B81" s="44">
        <v>3</v>
      </c>
      <c r="C81" s="237" t="str">
        <f>D_M03!B85</f>
        <v>Plywood Exterior 0.5 Inch</v>
      </c>
      <c r="D81" s="135">
        <f>D_M03!C85</f>
        <v>0.79</v>
      </c>
      <c r="E81" s="90">
        <f>D_M03!C85</f>
        <v>0.79</v>
      </c>
      <c r="F81" s="81"/>
      <c r="G81" s="69"/>
      <c r="H81" s="82"/>
    </row>
    <row r="82" spans="2:8" x14ac:dyDescent="0.35">
      <c r="B82" s="44">
        <v>4</v>
      </c>
      <c r="C82" s="237" t="str">
        <f>D_M03!B86</f>
        <v>Wood Stud 2 x 4: Nominal</v>
      </c>
      <c r="D82" s="135">
        <v>0</v>
      </c>
      <c r="E82" s="90">
        <f>D_M03!C86</f>
        <v>4.38</v>
      </c>
      <c r="F82" s="81"/>
      <c r="G82" s="69"/>
      <c r="H82" s="82"/>
    </row>
    <row r="83" spans="2:8" x14ac:dyDescent="0.35">
      <c r="B83" s="44">
        <v>5</v>
      </c>
      <c r="C83" s="237" t="str">
        <f>D_M03!B87</f>
        <v>Fiber Glass Batt Insulation R13</v>
      </c>
      <c r="D83" s="135">
        <f>D_M03!C87</f>
        <v>13</v>
      </c>
      <c r="E83" s="119">
        <v>0</v>
      </c>
      <c r="F83" s="81"/>
      <c r="G83" s="69"/>
      <c r="H83" s="82"/>
    </row>
    <row r="84" spans="2:8" x14ac:dyDescent="0.35">
      <c r="B84" s="44">
        <v>6</v>
      </c>
      <c r="C84" s="237" t="str">
        <f>D_M03!B88</f>
        <v xml:space="preserve">0.5 Inch Drywall </v>
      </c>
      <c r="D84" s="100">
        <f>D_M03!C88</f>
        <v>0.45</v>
      </c>
      <c r="E84" s="120">
        <f>D_M03!C88</f>
        <v>0.45</v>
      </c>
      <c r="F84" s="81"/>
      <c r="G84" s="69"/>
      <c r="H84" s="82"/>
    </row>
    <row r="85" spans="2:8" x14ac:dyDescent="0.35">
      <c r="B85" s="44">
        <v>7</v>
      </c>
      <c r="C85" s="237" t="str">
        <f>D_M03!B89</f>
        <v>Indoor Air Film</v>
      </c>
      <c r="D85" s="100">
        <f>D_M03!C89</f>
        <v>0.68</v>
      </c>
      <c r="E85" s="120">
        <f>D_M03!C89</f>
        <v>0.68</v>
      </c>
      <c r="F85" s="81"/>
      <c r="G85" s="69"/>
      <c r="H85" s="82"/>
    </row>
    <row r="86" spans="2:8" x14ac:dyDescent="0.35">
      <c r="B86" s="44"/>
      <c r="C86" s="80" t="s">
        <v>169</v>
      </c>
      <c r="D86" s="135">
        <f>SUM(D79:D85)</f>
        <v>15.252474226804123</v>
      </c>
      <c r="E86" s="90">
        <f>SUM(E79:E85)</f>
        <v>6.6324742268041232</v>
      </c>
      <c r="F86" s="81"/>
      <c r="G86" s="69"/>
      <c r="H86" s="82"/>
    </row>
    <row r="87" spans="2:8" x14ac:dyDescent="0.35">
      <c r="B87" s="85"/>
      <c r="C87" s="92" t="s">
        <v>170</v>
      </c>
      <c r="D87" s="134">
        <f>1/D86</f>
        <v>6.5563133241860375E-2</v>
      </c>
      <c r="E87" s="118">
        <f>1/E86</f>
        <v>0.15077329602860032</v>
      </c>
      <c r="F87" s="81"/>
      <c r="G87" s="69"/>
      <c r="H87" s="82"/>
    </row>
    <row r="88" spans="2:8" ht="16.5" customHeight="1" x14ac:dyDescent="0.35">
      <c r="B88" s="81"/>
      <c r="C88" s="81" t="s">
        <v>160</v>
      </c>
      <c r="D88" s="101">
        <f>D87*D78+E87*E78</f>
        <v>8.6865673938545357E-2</v>
      </c>
      <c r="E88" s="94"/>
      <c r="F88" s="81" t="s">
        <v>83</v>
      </c>
      <c r="G88" s="69"/>
      <c r="H88" s="82"/>
    </row>
    <row r="89" spans="2:8" ht="16.5" customHeight="1" x14ac:dyDescent="0.35">
      <c r="B89" s="54"/>
      <c r="C89" s="54" t="s">
        <v>161</v>
      </c>
      <c r="D89" s="137">
        <f>1/D88</f>
        <v>11.512027187027496</v>
      </c>
      <c r="E89" s="94"/>
      <c r="F89" s="52"/>
      <c r="G89" s="86"/>
      <c r="H89" s="87"/>
    </row>
    <row r="92" spans="2:8" ht="19.5" customHeight="1" x14ac:dyDescent="0.35"/>
    <row r="108" ht="20.25" customHeight="1" x14ac:dyDescent="0.35"/>
  </sheetData>
  <sheetProtection algorithmName="SHA-512" hashValue="f/BgFzrNygR+OXz4WQszT1wKdbQ7VP98Nop1vCXvA+2pjsJIxLHeS0d+JTX+CQ2wtwTwapTR23YclR92jHl7Fw==" saltValue="wT1ZMaSx6ZpIplbpTdzeYQ==" spinCount="100000" sheet="1" objects="1" scenarios="1"/>
  <mergeCells count="14">
    <mergeCell ref="F50:H51"/>
    <mergeCell ref="Q6:R6"/>
    <mergeCell ref="S6:T6"/>
    <mergeCell ref="D6:F6"/>
    <mergeCell ref="K5:L5"/>
    <mergeCell ref="M5:N5"/>
    <mergeCell ref="O5:P5"/>
    <mergeCell ref="Q5:R5"/>
    <mergeCell ref="S5:T5"/>
    <mergeCell ref="G6:H6"/>
    <mergeCell ref="I6:J6"/>
    <mergeCell ref="K6:L6"/>
    <mergeCell ref="M6:N6"/>
    <mergeCell ref="O6:P6"/>
  </mergeCells>
  <dataValidations count="1">
    <dataValidation type="list" allowBlank="1" showInputMessage="1" showErrorMessage="1" sqref="F57 F72 F88">
      <formula1>UCalcMethod</formula1>
    </dataValidation>
  </dataValidations>
  <pageMargins left="0.7" right="0.7" top="0.75" bottom="0.75" header="0.3" footer="0.3"/>
  <pageSetup scale="34" fitToHeight="0" orientation="portrait" r:id="rId1"/>
  <rowBreaks count="1" manualBreakCount="1">
    <brk id="61"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G121"/>
  <sheetViews>
    <sheetView topLeftCell="A4" zoomScale="85" zoomScaleNormal="85" workbookViewId="0">
      <selection activeCell="B53" sqref="B53"/>
    </sheetView>
  </sheetViews>
  <sheetFormatPr defaultColWidth="9.1796875" defaultRowHeight="12.5" x14ac:dyDescent="0.25"/>
  <cols>
    <col min="1" max="1" width="6.1796875" style="160" customWidth="1"/>
    <col min="2" max="2" width="51" style="160" customWidth="1"/>
    <col min="3" max="3" width="25" style="160" customWidth="1"/>
    <col min="4" max="4" width="35.81640625" style="160" customWidth="1"/>
    <col min="5" max="5" width="13.7265625" style="160" customWidth="1"/>
    <col min="6" max="6" width="14.7265625" style="160" customWidth="1"/>
    <col min="7" max="7" width="11.81640625" style="160" customWidth="1"/>
    <col min="8" max="16384" width="9.1796875" style="160"/>
  </cols>
  <sheetData>
    <row r="2" spans="1:7" ht="13" x14ac:dyDescent="0.25">
      <c r="B2" s="161" t="s">
        <v>412</v>
      </c>
    </row>
    <row r="3" spans="1:7" ht="13" x14ac:dyDescent="0.25">
      <c r="B3" s="161" t="s">
        <v>280</v>
      </c>
      <c r="C3" s="161"/>
    </row>
    <row r="4" spans="1:7" ht="14.5" x14ac:dyDescent="0.35">
      <c r="B4" s="4" t="s">
        <v>26</v>
      </c>
    </row>
    <row r="5" spans="1:7" ht="15" customHeight="1" x14ac:dyDescent="0.25">
      <c r="B5" s="161"/>
    </row>
    <row r="6" spans="1:7" ht="47.25" customHeight="1" thickBot="1" x14ac:dyDescent="0.3">
      <c r="B6" s="434" t="s">
        <v>191</v>
      </c>
      <c r="C6" s="435" t="s">
        <v>192</v>
      </c>
      <c r="D6" s="435" t="s">
        <v>400</v>
      </c>
      <c r="E6" s="420" t="s">
        <v>209</v>
      </c>
      <c r="F6" s="421" t="s">
        <v>210</v>
      </c>
      <c r="G6" s="421" t="s">
        <v>218</v>
      </c>
    </row>
    <row r="7" spans="1:7" ht="14.25" customHeight="1" thickTop="1" x14ac:dyDescent="0.25">
      <c r="B7" s="415" t="s">
        <v>194</v>
      </c>
      <c r="C7" s="415" t="s">
        <v>244</v>
      </c>
      <c r="D7" s="415" t="s">
        <v>195</v>
      </c>
      <c r="E7" s="417"/>
      <c r="F7" s="417"/>
      <c r="G7" s="417">
        <v>2000</v>
      </c>
    </row>
    <row r="8" spans="1:7" ht="14.25" customHeight="1" x14ac:dyDescent="0.25">
      <c r="A8" s="164"/>
      <c r="B8" s="157" t="s">
        <v>0</v>
      </c>
      <c r="C8" s="157" t="s">
        <v>196</v>
      </c>
      <c r="D8" s="157" t="s">
        <v>197</v>
      </c>
      <c r="E8" s="270"/>
      <c r="F8" s="270"/>
      <c r="G8" s="270"/>
    </row>
    <row r="9" spans="1:7" ht="14.25" customHeight="1" x14ac:dyDescent="0.25">
      <c r="A9" s="164"/>
      <c r="B9" s="157" t="s">
        <v>1</v>
      </c>
      <c r="C9" s="157" t="s">
        <v>245</v>
      </c>
      <c r="D9" s="157" t="s">
        <v>295</v>
      </c>
      <c r="E9" s="270"/>
      <c r="F9" s="270">
        <v>0.75</v>
      </c>
      <c r="G9" s="270"/>
    </row>
    <row r="10" spans="1:7" ht="14.25" customHeight="1" x14ac:dyDescent="0.25">
      <c r="A10" s="164"/>
      <c r="B10" s="157" t="s">
        <v>246</v>
      </c>
      <c r="C10" s="157" t="s">
        <v>244</v>
      </c>
      <c r="D10" s="157" t="s">
        <v>258</v>
      </c>
      <c r="E10" s="218">
        <v>38</v>
      </c>
      <c r="F10" s="270"/>
      <c r="G10" s="218">
        <v>2000</v>
      </c>
    </row>
    <row r="11" spans="1:7" ht="14.25" customHeight="1" x14ac:dyDescent="0.25">
      <c r="A11" s="164"/>
      <c r="B11" s="157" t="s">
        <v>2</v>
      </c>
      <c r="C11" s="157" t="s">
        <v>247</v>
      </c>
      <c r="D11" s="157" t="s">
        <v>297</v>
      </c>
      <c r="E11" s="270">
        <v>0.65</v>
      </c>
      <c r="F11" s="270">
        <v>0.25</v>
      </c>
      <c r="G11" s="270">
        <v>10</v>
      </c>
    </row>
    <row r="12" spans="1:7" ht="14.25" customHeight="1" x14ac:dyDescent="0.25">
      <c r="A12" s="164"/>
      <c r="B12" s="157" t="s">
        <v>278</v>
      </c>
      <c r="C12" s="157" t="s">
        <v>198</v>
      </c>
      <c r="D12" s="157" t="s">
        <v>269</v>
      </c>
      <c r="E12" s="425">
        <v>6</v>
      </c>
      <c r="F12" s="153"/>
      <c r="G12" s="154">
        <f>50*10</f>
        <v>500</v>
      </c>
    </row>
    <row r="13" spans="1:7" ht="14.25" customHeight="1" x14ac:dyDescent="0.25">
      <c r="A13" s="164"/>
      <c r="B13" s="157" t="s">
        <v>3</v>
      </c>
      <c r="C13" s="157" t="s">
        <v>248</v>
      </c>
      <c r="D13" s="157" t="s">
        <v>77</v>
      </c>
      <c r="E13" s="270">
        <v>0.4</v>
      </c>
      <c r="F13" s="218">
        <v>0</v>
      </c>
      <c r="G13" s="270">
        <v>24</v>
      </c>
    </row>
    <row r="14" spans="1:7" ht="14.25" customHeight="1" x14ac:dyDescent="0.25">
      <c r="A14" s="164"/>
      <c r="B14" s="157" t="s">
        <v>4</v>
      </c>
      <c r="C14" s="157" t="s">
        <v>249</v>
      </c>
      <c r="D14" s="157" t="s">
        <v>297</v>
      </c>
      <c r="E14" s="270">
        <v>0.4</v>
      </c>
      <c r="F14" s="270">
        <v>0.25</v>
      </c>
      <c r="G14" s="270">
        <v>75</v>
      </c>
    </row>
    <row r="15" spans="1:7" ht="14.25" customHeight="1" x14ac:dyDescent="0.25">
      <c r="A15" s="164"/>
      <c r="B15" s="157" t="s">
        <v>5</v>
      </c>
      <c r="C15" s="157" t="s">
        <v>199</v>
      </c>
      <c r="D15" s="157" t="s">
        <v>269</v>
      </c>
      <c r="E15" s="155">
        <f>E12</f>
        <v>6</v>
      </c>
      <c r="F15" s="153"/>
      <c r="G15" s="155">
        <f>40*10</f>
        <v>400</v>
      </c>
    </row>
    <row r="16" spans="1:7" ht="14.25" customHeight="1" x14ac:dyDescent="0.25">
      <c r="A16" s="164"/>
      <c r="B16" s="157" t="s">
        <v>6</v>
      </c>
      <c r="C16" s="157" t="s">
        <v>249</v>
      </c>
      <c r="D16" s="157" t="s">
        <v>297</v>
      </c>
      <c r="E16" s="404">
        <f>E14</f>
        <v>0.4</v>
      </c>
      <c r="F16" s="404">
        <f>F14</f>
        <v>0.25</v>
      </c>
      <c r="G16" s="270">
        <v>75</v>
      </c>
    </row>
    <row r="17" spans="1:7" ht="14.25" customHeight="1" x14ac:dyDescent="0.25">
      <c r="A17" s="164"/>
      <c r="B17" s="157" t="s">
        <v>7</v>
      </c>
      <c r="C17" s="157" t="s">
        <v>199</v>
      </c>
      <c r="D17" s="157" t="s">
        <v>290</v>
      </c>
      <c r="E17" s="155">
        <f>E12</f>
        <v>6</v>
      </c>
      <c r="F17" s="153"/>
      <c r="G17" s="155">
        <f>40*10</f>
        <v>400</v>
      </c>
    </row>
    <row r="18" spans="1:7" ht="14.25" customHeight="1" x14ac:dyDescent="0.25">
      <c r="A18" s="164"/>
      <c r="B18" s="157" t="s">
        <v>8</v>
      </c>
      <c r="C18" s="157" t="s">
        <v>250</v>
      </c>
      <c r="D18" s="157" t="s">
        <v>297</v>
      </c>
      <c r="E18" s="404">
        <f>E14</f>
        <v>0.4</v>
      </c>
      <c r="F18" s="404">
        <f>F14</f>
        <v>0.25</v>
      </c>
      <c r="G18" s="270">
        <v>15</v>
      </c>
    </row>
    <row r="19" spans="1:7" ht="14.25" customHeight="1" x14ac:dyDescent="0.25">
      <c r="A19" s="164"/>
      <c r="B19" s="157" t="s">
        <v>279</v>
      </c>
      <c r="C19" s="157" t="s">
        <v>200</v>
      </c>
      <c r="D19" s="157" t="s">
        <v>294</v>
      </c>
      <c r="E19" s="218">
        <v>13</v>
      </c>
      <c r="F19" s="270"/>
      <c r="G19" s="270">
        <f>10*10</f>
        <v>100</v>
      </c>
    </row>
    <row r="20" spans="1:7" ht="14.25" customHeight="1" x14ac:dyDescent="0.25">
      <c r="A20" s="164"/>
      <c r="B20" s="157" t="s">
        <v>9</v>
      </c>
      <c r="C20" s="157" t="s">
        <v>251</v>
      </c>
      <c r="D20" s="157" t="s">
        <v>297</v>
      </c>
      <c r="E20" s="404">
        <f>E14</f>
        <v>0.4</v>
      </c>
      <c r="F20" s="404">
        <f>F14</f>
        <v>0.25</v>
      </c>
      <c r="G20" s="270">
        <v>60</v>
      </c>
    </row>
    <row r="21" spans="1:7" ht="14.25" customHeight="1" x14ac:dyDescent="0.25">
      <c r="A21" s="164"/>
      <c r="B21" s="157" t="s">
        <v>10</v>
      </c>
      <c r="C21" s="157" t="s">
        <v>199</v>
      </c>
      <c r="D21" s="157" t="s">
        <v>290</v>
      </c>
      <c r="E21" s="155">
        <f>E12</f>
        <v>6</v>
      </c>
      <c r="F21" s="153"/>
      <c r="G21" s="155">
        <f>40*10</f>
        <v>400</v>
      </c>
    </row>
    <row r="22" spans="1:7" ht="14.25" customHeight="1" x14ac:dyDescent="0.25">
      <c r="A22" s="164"/>
      <c r="B22" s="157" t="s">
        <v>11</v>
      </c>
      <c r="C22" s="157" t="s">
        <v>249</v>
      </c>
      <c r="D22" s="157" t="s">
        <v>297</v>
      </c>
      <c r="E22" s="404">
        <f>E14</f>
        <v>0.4</v>
      </c>
      <c r="F22" s="404">
        <f>F14</f>
        <v>0.25</v>
      </c>
      <c r="G22" s="270">
        <v>75</v>
      </c>
    </row>
    <row r="23" spans="1:7" ht="14.25" customHeight="1" x14ac:dyDescent="0.25">
      <c r="A23" s="164"/>
      <c r="B23" s="157" t="s">
        <v>12</v>
      </c>
      <c r="C23" s="157" t="s">
        <v>286</v>
      </c>
      <c r="D23" s="157" t="s">
        <v>291</v>
      </c>
      <c r="E23" s="218">
        <v>5</v>
      </c>
      <c r="F23" s="270"/>
      <c r="G23" s="270"/>
    </row>
    <row r="24" spans="1:7" ht="14.25" customHeight="1" x14ac:dyDescent="0.25">
      <c r="A24" s="164"/>
      <c r="B24" s="157" t="s">
        <v>13</v>
      </c>
      <c r="C24" s="157" t="s">
        <v>201</v>
      </c>
      <c r="D24" s="157" t="s">
        <v>292</v>
      </c>
      <c r="E24" s="270">
        <v>8.1999999999999993</v>
      </c>
      <c r="F24" s="270"/>
      <c r="G24" s="270"/>
    </row>
    <row r="25" spans="1:7" ht="14.25" customHeight="1" x14ac:dyDescent="0.25">
      <c r="A25" s="164"/>
      <c r="B25" s="157" t="s">
        <v>14</v>
      </c>
      <c r="C25" s="157" t="s">
        <v>201</v>
      </c>
      <c r="D25" s="157" t="s">
        <v>293</v>
      </c>
      <c r="E25" s="218">
        <v>14</v>
      </c>
      <c r="F25" s="270"/>
      <c r="G25" s="270"/>
    </row>
    <row r="26" spans="1:7" ht="14.25" customHeight="1" x14ac:dyDescent="0.25">
      <c r="A26" s="164"/>
      <c r="B26" s="157" t="s">
        <v>15</v>
      </c>
      <c r="C26" s="157" t="s">
        <v>202</v>
      </c>
      <c r="D26" s="157" t="s">
        <v>415</v>
      </c>
      <c r="E26" s="425">
        <v>8</v>
      </c>
      <c r="F26" s="153"/>
      <c r="G26" s="153"/>
    </row>
    <row r="27" spans="1:7" ht="14.25" customHeight="1" x14ac:dyDescent="0.25">
      <c r="A27" s="164"/>
      <c r="B27" s="157" t="s">
        <v>281</v>
      </c>
      <c r="C27" s="157" t="s">
        <v>203</v>
      </c>
      <c r="D27" s="157" t="s">
        <v>415</v>
      </c>
      <c r="E27" s="218">
        <v>6</v>
      </c>
      <c r="F27" s="270"/>
      <c r="G27" s="270"/>
    </row>
    <row r="28" spans="1:7" ht="15.75" customHeight="1" x14ac:dyDescent="0.25">
      <c r="A28" s="164"/>
      <c r="B28" s="157" t="s">
        <v>17</v>
      </c>
      <c r="C28" s="157"/>
      <c r="D28" s="157" t="s">
        <v>287</v>
      </c>
      <c r="E28" s="270">
        <v>0.04</v>
      </c>
      <c r="F28" s="270"/>
      <c r="G28" s="270"/>
    </row>
    <row r="29" spans="1:7" ht="14.25" customHeight="1" x14ac:dyDescent="0.25">
      <c r="A29" s="164"/>
      <c r="B29" s="157" t="s">
        <v>282</v>
      </c>
      <c r="C29" s="157" t="s">
        <v>201</v>
      </c>
      <c r="D29" s="157" t="s">
        <v>299</v>
      </c>
      <c r="E29" s="254">
        <v>0.02</v>
      </c>
      <c r="F29" s="270"/>
      <c r="G29" s="270"/>
    </row>
    <row r="30" spans="1:7" ht="14.25" customHeight="1" x14ac:dyDescent="0.25">
      <c r="A30" s="164"/>
      <c r="B30" s="157" t="s">
        <v>19</v>
      </c>
      <c r="C30" s="157" t="s">
        <v>204</v>
      </c>
      <c r="D30" s="157" t="s">
        <v>205</v>
      </c>
      <c r="E30" s="270" t="s">
        <v>205</v>
      </c>
      <c r="F30" s="270"/>
      <c r="G30" s="270"/>
    </row>
    <row r="31" spans="1:7" ht="14.25" customHeight="1" x14ac:dyDescent="0.25">
      <c r="A31" s="164"/>
      <c r="B31" s="157" t="s">
        <v>20</v>
      </c>
      <c r="C31" s="157" t="s">
        <v>206</v>
      </c>
      <c r="D31" s="157" t="s">
        <v>288</v>
      </c>
      <c r="E31" s="270">
        <v>0.95</v>
      </c>
      <c r="F31" s="270"/>
      <c r="G31" s="270"/>
    </row>
    <row r="32" spans="1:7" ht="14.25" customHeight="1" x14ac:dyDescent="0.25">
      <c r="A32" s="164"/>
      <c r="B32" s="157" t="s">
        <v>21</v>
      </c>
      <c r="C32" s="157" t="s">
        <v>207</v>
      </c>
      <c r="D32" s="157" t="s">
        <v>289</v>
      </c>
      <c r="E32" s="270">
        <v>3</v>
      </c>
      <c r="F32" s="270"/>
      <c r="G32" s="270"/>
    </row>
    <row r="33" spans="1:7" ht="14.25" customHeight="1" x14ac:dyDescent="0.25">
      <c r="A33" s="164"/>
      <c r="B33" s="157" t="s">
        <v>22</v>
      </c>
      <c r="C33" s="157" t="s">
        <v>195</v>
      </c>
      <c r="D33" s="157" t="s">
        <v>195</v>
      </c>
      <c r="E33" s="270" t="s">
        <v>205</v>
      </c>
      <c r="F33" s="270"/>
      <c r="G33" s="270"/>
    </row>
    <row r="34" spans="1:7" ht="14.25" customHeight="1" x14ac:dyDescent="0.25">
      <c r="A34" s="164"/>
      <c r="B34" s="157" t="s">
        <v>23</v>
      </c>
      <c r="C34" s="157" t="s">
        <v>208</v>
      </c>
      <c r="D34" s="157" t="s">
        <v>296</v>
      </c>
      <c r="E34" s="426">
        <f>75/100</f>
        <v>0.75</v>
      </c>
      <c r="F34" s="270"/>
      <c r="G34" s="270"/>
    </row>
    <row r="35" spans="1:7" ht="14.25" customHeight="1" thickBot="1" x14ac:dyDescent="0.3">
      <c r="A35" s="164"/>
      <c r="B35" s="414" t="s">
        <v>24</v>
      </c>
      <c r="C35" s="414" t="s">
        <v>195</v>
      </c>
      <c r="D35" s="414" t="s">
        <v>195</v>
      </c>
      <c r="E35" s="432" t="s">
        <v>205</v>
      </c>
      <c r="F35" s="432"/>
      <c r="G35" s="432"/>
    </row>
    <row r="36" spans="1:7" ht="14.25" customHeight="1" thickTop="1" x14ac:dyDescent="0.25">
      <c r="A36" s="164"/>
      <c r="B36" s="159"/>
      <c r="C36" s="159"/>
      <c r="D36" s="159"/>
      <c r="E36" s="127"/>
      <c r="F36" s="127"/>
      <c r="G36" s="127"/>
    </row>
    <row r="37" spans="1:7" ht="14.25" customHeight="1" thickBot="1" x14ac:dyDescent="0.3">
      <c r="A37" s="164"/>
      <c r="B37" s="443" t="s">
        <v>401</v>
      </c>
      <c r="C37" s="440"/>
      <c r="D37" s="440"/>
      <c r="E37" s="441"/>
      <c r="F37" s="441"/>
      <c r="G37" s="442"/>
    </row>
    <row r="38" spans="1:7" ht="13.5" customHeight="1" thickTop="1" x14ac:dyDescent="0.25">
      <c r="B38" s="415" t="s">
        <v>114</v>
      </c>
      <c r="C38" s="430"/>
      <c r="D38" s="430"/>
      <c r="E38" s="430"/>
      <c r="F38" s="430"/>
      <c r="G38" s="430"/>
    </row>
    <row r="39" spans="1:7" ht="13.5" customHeight="1" x14ac:dyDescent="0.25">
      <c r="B39" s="157" t="s">
        <v>115</v>
      </c>
      <c r="C39" s="428"/>
      <c r="D39" s="428"/>
      <c r="E39" s="428"/>
      <c r="F39" s="428"/>
      <c r="G39" s="428"/>
    </row>
    <row r="40" spans="1:7" ht="13.5" customHeight="1" x14ac:dyDescent="0.25">
      <c r="B40" s="157" t="s">
        <v>71</v>
      </c>
      <c r="C40" s="428"/>
      <c r="D40" s="428"/>
      <c r="E40" s="428"/>
      <c r="F40" s="428"/>
      <c r="G40" s="428"/>
    </row>
    <row r="41" spans="1:7" ht="13.5" customHeight="1" x14ac:dyDescent="0.25">
      <c r="B41" s="157" t="s">
        <v>116</v>
      </c>
      <c r="C41" s="428"/>
      <c r="D41" s="428"/>
      <c r="E41" s="428"/>
      <c r="F41" s="428"/>
      <c r="G41" s="428"/>
    </row>
    <row r="42" spans="1:7" ht="13.5" customHeight="1" x14ac:dyDescent="0.25">
      <c r="B42" s="157" t="s">
        <v>117</v>
      </c>
      <c r="C42" s="428"/>
      <c r="D42" s="428"/>
      <c r="E42" s="428"/>
      <c r="F42" s="428"/>
      <c r="G42" s="428"/>
    </row>
    <row r="43" spans="1:7" ht="13.5" customHeight="1" x14ac:dyDescent="0.25">
      <c r="B43" s="157" t="s">
        <v>78</v>
      </c>
      <c r="C43" s="428"/>
      <c r="D43" s="428"/>
      <c r="E43" s="428"/>
      <c r="F43" s="428"/>
      <c r="G43" s="428"/>
    </row>
    <row r="44" spans="1:7" ht="13.5" customHeight="1" x14ac:dyDescent="0.25">
      <c r="B44" s="157" t="s">
        <v>72</v>
      </c>
      <c r="C44" s="428"/>
      <c r="D44" s="428"/>
      <c r="E44" s="428"/>
      <c r="F44" s="428"/>
      <c r="G44" s="428"/>
    </row>
    <row r="45" spans="1:7" ht="13.5" customHeight="1" thickBot="1" x14ac:dyDescent="0.3">
      <c r="B45" s="414" t="s">
        <v>92</v>
      </c>
      <c r="C45" s="429"/>
      <c r="D45" s="429"/>
      <c r="E45" s="429"/>
      <c r="F45" s="429"/>
      <c r="G45" s="429"/>
    </row>
    <row r="46" spans="1:7" ht="13.5" customHeight="1" thickTop="1" x14ac:dyDescent="0.25"/>
    <row r="47" spans="1:7" ht="13.5" customHeight="1" x14ac:dyDescent="0.25"/>
    <row r="48" spans="1:7" ht="24" customHeight="1" x14ac:dyDescent="0.25">
      <c r="B48" s="523" t="s">
        <v>273</v>
      </c>
      <c r="C48" s="523"/>
      <c r="D48" s="523"/>
    </row>
    <row r="49" spans="2:6" ht="21" customHeight="1" x14ac:dyDescent="0.25">
      <c r="B49" s="131" t="s">
        <v>219</v>
      </c>
      <c r="F49" s="285"/>
    </row>
    <row r="50" spans="2:6" ht="14.25" customHeight="1" x14ac:dyDescent="0.25">
      <c r="B50" s="269" t="s">
        <v>217</v>
      </c>
      <c r="C50" s="165">
        <v>7.0000000000000007E-2</v>
      </c>
      <c r="D50" s="166" t="s">
        <v>255</v>
      </c>
    </row>
    <row r="51" spans="2:6" ht="15" customHeight="1" x14ac:dyDescent="0.25"/>
    <row r="52" spans="2:6" ht="15" customHeight="1" x14ac:dyDescent="0.25">
      <c r="B52" s="269" t="s">
        <v>211</v>
      </c>
      <c r="C52" s="270" t="s">
        <v>212</v>
      </c>
      <c r="D52" s="165" t="s">
        <v>149</v>
      </c>
    </row>
    <row r="53" spans="2:6" ht="15" customHeight="1" x14ac:dyDescent="0.25">
      <c r="B53" s="486" t="s">
        <v>431</v>
      </c>
      <c r="C53" s="127">
        <v>0.25</v>
      </c>
      <c r="D53" s="129" t="s">
        <v>157</v>
      </c>
    </row>
    <row r="54" spans="2:6" ht="15" customHeight="1" x14ac:dyDescent="0.25">
      <c r="B54" s="486" t="s">
        <v>432</v>
      </c>
      <c r="C54" s="127">
        <v>1.25</v>
      </c>
      <c r="D54" s="129" t="s">
        <v>441</v>
      </c>
    </row>
    <row r="55" spans="2:6" ht="15" customHeight="1" x14ac:dyDescent="0.25">
      <c r="B55" s="486" t="s">
        <v>433</v>
      </c>
      <c r="C55" s="127">
        <v>0.76</v>
      </c>
      <c r="D55" s="129" t="s">
        <v>157</v>
      </c>
    </row>
    <row r="56" spans="2:6" ht="14.25" customHeight="1" x14ac:dyDescent="0.25">
      <c r="B56" s="129" t="s">
        <v>151</v>
      </c>
      <c r="C56" s="167">
        <v>0.61</v>
      </c>
      <c r="D56" s="168" t="s">
        <v>152</v>
      </c>
    </row>
    <row r="57" spans="2:6" ht="14.25" customHeight="1" x14ac:dyDescent="0.25">
      <c r="B57" s="129" t="str">
        <f>"Batt Insulation R"&amp;C57</f>
        <v>Batt Insulation R38</v>
      </c>
      <c r="C57" s="220">
        <f>E10</f>
        <v>38</v>
      </c>
      <c r="D57" s="129"/>
    </row>
    <row r="58" spans="2:6" ht="14.25" customHeight="1" x14ac:dyDescent="0.25">
      <c r="B58" s="129" t="s">
        <v>153</v>
      </c>
      <c r="C58" s="167">
        <v>4.38</v>
      </c>
      <c r="D58" s="129" t="s">
        <v>154</v>
      </c>
    </row>
    <row r="59" spans="2:6" ht="14.25" customHeight="1" x14ac:dyDescent="0.25">
      <c r="B59" s="129" t="s">
        <v>215</v>
      </c>
      <c r="C59" s="167">
        <v>0.45</v>
      </c>
      <c r="D59" s="129" t="s">
        <v>155</v>
      </c>
    </row>
    <row r="60" spans="2:6" ht="14.25" customHeight="1" x14ac:dyDescent="0.25">
      <c r="B60" s="130" t="s">
        <v>156</v>
      </c>
      <c r="C60" s="169">
        <v>0.92</v>
      </c>
      <c r="D60" s="130" t="s">
        <v>157</v>
      </c>
    </row>
    <row r="63" spans="2:6" x14ac:dyDescent="0.25">
      <c r="B63" s="160" t="s">
        <v>241</v>
      </c>
    </row>
    <row r="64" spans="2:6" x14ac:dyDescent="0.25">
      <c r="B64" s="160" t="s">
        <v>381</v>
      </c>
    </row>
    <row r="65" spans="1:6" ht="42.75" customHeight="1" x14ac:dyDescent="0.25">
      <c r="B65" s="521" t="s">
        <v>378</v>
      </c>
      <c r="C65" s="521"/>
      <c r="D65" s="521"/>
    </row>
    <row r="66" spans="1:6" ht="27.75" customHeight="1" x14ac:dyDescent="0.25">
      <c r="A66" s="170"/>
      <c r="B66" s="269" t="s">
        <v>211</v>
      </c>
      <c r="C66" s="270" t="s">
        <v>212</v>
      </c>
      <c r="D66" s="171" t="s">
        <v>149</v>
      </c>
      <c r="E66" s="170"/>
      <c r="F66" s="170"/>
    </row>
    <row r="67" spans="1:6" ht="14.25" customHeight="1" x14ac:dyDescent="0.25">
      <c r="A67" s="167"/>
      <c r="B67" s="128" t="s">
        <v>162</v>
      </c>
      <c r="C67" s="171">
        <v>0.25</v>
      </c>
      <c r="D67" s="172" t="s">
        <v>157</v>
      </c>
      <c r="E67" s="170"/>
      <c r="F67" s="170"/>
    </row>
    <row r="68" spans="1:6" ht="14.25" customHeight="1" x14ac:dyDescent="0.25">
      <c r="A68" s="167"/>
      <c r="B68" s="129" t="s">
        <v>221</v>
      </c>
      <c r="C68" s="173">
        <f>0.8/9.7</f>
        <v>8.2474226804123724E-2</v>
      </c>
      <c r="D68" s="129" t="s">
        <v>163</v>
      </c>
      <c r="E68" s="170"/>
      <c r="F68" s="170"/>
    </row>
    <row r="69" spans="1:6" ht="14.25" customHeight="1" x14ac:dyDescent="0.25">
      <c r="A69" s="167"/>
      <c r="B69" s="129" t="s">
        <v>274</v>
      </c>
      <c r="C69" s="174">
        <v>0</v>
      </c>
      <c r="D69" s="129"/>
      <c r="E69" s="170"/>
      <c r="F69" s="170"/>
    </row>
    <row r="70" spans="1:6" ht="14.25" customHeight="1" x14ac:dyDescent="0.25">
      <c r="A70" s="167"/>
      <c r="B70" s="129" t="s">
        <v>213</v>
      </c>
      <c r="C70" s="175">
        <f>C109</f>
        <v>1.0140947636940258</v>
      </c>
      <c r="D70" s="129" t="s">
        <v>165</v>
      </c>
      <c r="E70" s="170"/>
      <c r="F70" s="170"/>
    </row>
    <row r="71" spans="1:6" ht="14.25" customHeight="1" x14ac:dyDescent="0.25">
      <c r="A71" s="167"/>
      <c r="B71" s="129" t="str">
        <f>"1 Inch"&amp;" R"&amp;C71&amp;" "&amp;"Insulation Board"</f>
        <v>1 Inch R6 Insulation Board</v>
      </c>
      <c r="C71" s="446">
        <f>E12</f>
        <v>6</v>
      </c>
      <c r="D71" s="129"/>
      <c r="E71" s="170"/>
      <c r="F71" s="170"/>
    </row>
    <row r="72" spans="1:6" ht="14.25" customHeight="1" x14ac:dyDescent="0.25">
      <c r="A72" s="167"/>
      <c r="B72" s="129" t="s">
        <v>214</v>
      </c>
      <c r="C72" s="176">
        <v>1.22</v>
      </c>
      <c r="D72" s="129" t="s">
        <v>166</v>
      </c>
      <c r="E72" s="170"/>
      <c r="F72" s="170"/>
    </row>
    <row r="73" spans="1:6" ht="14.25" customHeight="1" x14ac:dyDescent="0.25">
      <c r="A73" s="167"/>
      <c r="B73" s="129" t="s">
        <v>215</v>
      </c>
      <c r="C73" s="176">
        <v>0.45</v>
      </c>
      <c r="D73" s="129" t="s">
        <v>155</v>
      </c>
      <c r="E73" s="170"/>
    </row>
    <row r="74" spans="1:6" ht="14.25" customHeight="1" x14ac:dyDescent="0.25">
      <c r="A74" s="167"/>
      <c r="B74" s="130" t="s">
        <v>167</v>
      </c>
      <c r="C74" s="177">
        <v>0.68</v>
      </c>
      <c r="D74" s="130" t="s">
        <v>157</v>
      </c>
      <c r="E74" s="170"/>
      <c r="F74" s="170"/>
    </row>
    <row r="75" spans="1:6" ht="13.5" customHeight="1" x14ac:dyDescent="0.25"/>
    <row r="76" spans="1:6" ht="13.5" customHeight="1" x14ac:dyDescent="0.25"/>
    <row r="77" spans="1:6" ht="13.5" customHeight="1" x14ac:dyDescent="0.25">
      <c r="A77" s="160" t="s">
        <v>241</v>
      </c>
    </row>
    <row r="78" spans="1:6" ht="36.75" customHeight="1" x14ac:dyDescent="0.25">
      <c r="B78" s="521" t="s">
        <v>379</v>
      </c>
      <c r="C78" s="521"/>
      <c r="D78" s="521"/>
      <c r="E78" s="178"/>
    </row>
    <row r="79" spans="1:6" ht="16.5" customHeight="1" x14ac:dyDescent="0.25">
      <c r="A79" s="178"/>
      <c r="B79" s="269" t="s">
        <v>222</v>
      </c>
      <c r="C79" s="267">
        <f>0.25</f>
        <v>0.25</v>
      </c>
      <c r="D79" s="270"/>
      <c r="E79" s="178"/>
    </row>
    <row r="80" spans="1:6" ht="13.5" customHeight="1" x14ac:dyDescent="0.25">
      <c r="A80" s="170"/>
      <c r="E80" s="127"/>
    </row>
    <row r="81" spans="1:7" ht="16.5" customHeight="1" x14ac:dyDescent="0.25">
      <c r="B81" s="131" t="s">
        <v>220</v>
      </c>
      <c r="E81" s="179"/>
    </row>
    <row r="82" spans="1:7" ht="16.5" customHeight="1" x14ac:dyDescent="0.25">
      <c r="B82" s="269" t="s">
        <v>211</v>
      </c>
      <c r="C82" s="270" t="s">
        <v>212</v>
      </c>
      <c r="D82" s="165" t="s">
        <v>149</v>
      </c>
      <c r="E82" s="179"/>
    </row>
    <row r="83" spans="1:7" ht="15.75" customHeight="1" x14ac:dyDescent="0.25">
      <c r="A83" s="167"/>
      <c r="B83" s="128" t="s">
        <v>162</v>
      </c>
      <c r="C83" s="180">
        <v>0.25</v>
      </c>
      <c r="D83" s="172" t="s">
        <v>157</v>
      </c>
      <c r="E83" s="181"/>
    </row>
    <row r="84" spans="1:7" ht="15.75" customHeight="1" x14ac:dyDescent="0.25">
      <c r="A84" s="167"/>
      <c r="B84" s="129" t="s">
        <v>221</v>
      </c>
      <c r="C84" s="173">
        <f>0.8/9.7</f>
        <v>8.2474226804123724E-2</v>
      </c>
      <c r="D84" s="182" t="s">
        <v>163</v>
      </c>
      <c r="E84" s="181"/>
    </row>
    <row r="85" spans="1:7" ht="15.75" customHeight="1" x14ac:dyDescent="0.25">
      <c r="A85" s="167"/>
      <c r="B85" s="129" t="s">
        <v>275</v>
      </c>
      <c r="C85" s="181">
        <v>0.79</v>
      </c>
      <c r="D85" s="183" t="s">
        <v>155</v>
      </c>
      <c r="E85" s="184"/>
    </row>
    <row r="86" spans="1:7" ht="15.75" customHeight="1" x14ac:dyDescent="0.25">
      <c r="A86" s="167"/>
      <c r="B86" s="129" t="s">
        <v>153</v>
      </c>
      <c r="C86" s="181">
        <v>4.38</v>
      </c>
      <c r="D86" s="183" t="s">
        <v>154</v>
      </c>
      <c r="E86" s="167"/>
    </row>
    <row r="87" spans="1:7" ht="15.75" customHeight="1" x14ac:dyDescent="0.25">
      <c r="A87" s="167"/>
      <c r="B87" s="129" t="str">
        <f>"Fiber Glass Batt Insulation"&amp;" R"&amp;C87</f>
        <v>Fiber Glass Batt Insulation R13</v>
      </c>
      <c r="C87" s="219">
        <f>E19</f>
        <v>13</v>
      </c>
      <c r="D87" s="185"/>
      <c r="E87" s="167"/>
    </row>
    <row r="88" spans="1:7" ht="15.75" customHeight="1" x14ac:dyDescent="0.25">
      <c r="A88" s="167"/>
      <c r="B88" s="129" t="s">
        <v>215</v>
      </c>
      <c r="C88" s="167">
        <v>0.45</v>
      </c>
      <c r="D88" s="168" t="s">
        <v>155</v>
      </c>
    </row>
    <row r="89" spans="1:7" ht="15.75" customHeight="1" x14ac:dyDescent="0.25">
      <c r="A89" s="167"/>
      <c r="B89" s="130" t="s">
        <v>167</v>
      </c>
      <c r="C89" s="169">
        <v>0.68</v>
      </c>
      <c r="D89" s="186" t="s">
        <v>157</v>
      </c>
    </row>
    <row r="90" spans="1:7" ht="14.25" customHeight="1" x14ac:dyDescent="0.25"/>
    <row r="91" spans="1:7" ht="14.25" customHeight="1" x14ac:dyDescent="0.25"/>
    <row r="92" spans="1:7" ht="14.25" customHeight="1" x14ac:dyDescent="0.25"/>
    <row r="93" spans="1:7" ht="14.25" customHeight="1" x14ac:dyDescent="0.25"/>
    <row r="94" spans="1:7" ht="16.5" customHeight="1" x14ac:dyDescent="0.25">
      <c r="A94" s="170"/>
      <c r="B94" s="166" t="s">
        <v>223</v>
      </c>
      <c r="C94" s="187"/>
      <c r="D94" s="128"/>
      <c r="E94" s="170"/>
      <c r="F94" s="170"/>
      <c r="G94" s="170"/>
    </row>
    <row r="95" spans="1:7" ht="16.5" customHeight="1" x14ac:dyDescent="0.25">
      <c r="A95" s="170"/>
      <c r="B95" s="269" t="s">
        <v>256</v>
      </c>
      <c r="C95" s="188" t="s">
        <v>171</v>
      </c>
      <c r="D95" s="165" t="s">
        <v>172</v>
      </c>
      <c r="E95" s="167"/>
      <c r="F95" s="170"/>
      <c r="G95" s="170"/>
    </row>
    <row r="96" spans="1:7" ht="15.75" customHeight="1" x14ac:dyDescent="0.25">
      <c r="A96" s="170"/>
      <c r="B96" s="189" t="s">
        <v>173</v>
      </c>
      <c r="C96" s="190">
        <v>7.625</v>
      </c>
      <c r="D96" s="171" t="s">
        <v>174</v>
      </c>
      <c r="E96" s="170"/>
      <c r="F96" s="170"/>
      <c r="G96" s="170"/>
    </row>
    <row r="97" spans="1:7" ht="15.75" customHeight="1" x14ac:dyDescent="0.25">
      <c r="A97" s="170"/>
      <c r="B97" s="191" t="s">
        <v>175</v>
      </c>
      <c r="C97" s="192">
        <v>7.625</v>
      </c>
      <c r="D97" s="176" t="s">
        <v>174</v>
      </c>
      <c r="E97" s="170"/>
      <c r="F97" s="170"/>
      <c r="G97" s="170"/>
    </row>
    <row r="98" spans="1:7" ht="15.75" customHeight="1" x14ac:dyDescent="0.25">
      <c r="A98" s="170"/>
      <c r="B98" s="191" t="s">
        <v>176</v>
      </c>
      <c r="C98" s="193">
        <v>15.625</v>
      </c>
      <c r="D98" s="176" t="s">
        <v>174</v>
      </c>
      <c r="E98" s="170"/>
      <c r="F98" s="170"/>
      <c r="G98" s="170"/>
    </row>
    <row r="99" spans="1:7" ht="15.75" customHeight="1" x14ac:dyDescent="0.25">
      <c r="A99" s="170"/>
      <c r="B99" s="191" t="s">
        <v>177</v>
      </c>
      <c r="C99" s="194">
        <v>1</v>
      </c>
      <c r="D99" s="176" t="s">
        <v>174</v>
      </c>
      <c r="E99" s="170"/>
      <c r="F99" s="170"/>
      <c r="G99" s="170"/>
    </row>
    <row r="100" spans="1:7" ht="15.75" customHeight="1" x14ac:dyDescent="0.25">
      <c r="A100" s="170"/>
      <c r="B100" s="191" t="s">
        <v>178</v>
      </c>
      <c r="C100" s="193">
        <v>1.25</v>
      </c>
      <c r="D100" s="176" t="s">
        <v>174</v>
      </c>
      <c r="E100" s="170"/>
      <c r="F100" s="170"/>
      <c r="G100" s="170"/>
    </row>
    <row r="101" spans="1:7" ht="15.75" customHeight="1" x14ac:dyDescent="0.25">
      <c r="A101" s="170"/>
      <c r="B101" s="191" t="s">
        <v>179</v>
      </c>
      <c r="C101" s="195">
        <v>0.1</v>
      </c>
      <c r="D101" s="176" t="s">
        <v>188</v>
      </c>
      <c r="E101" s="170"/>
      <c r="F101" s="170"/>
      <c r="G101" s="170"/>
    </row>
    <row r="102" spans="1:7" ht="15.75" customHeight="1" x14ac:dyDescent="0.25">
      <c r="A102" s="170"/>
      <c r="B102" s="191" t="s">
        <v>263</v>
      </c>
      <c r="C102" s="192">
        <v>0.86499999999999999</v>
      </c>
      <c r="D102" s="176" t="s">
        <v>188</v>
      </c>
      <c r="E102" s="170"/>
      <c r="F102" s="170"/>
      <c r="G102" s="170"/>
    </row>
    <row r="103" spans="1:7" ht="13.5" customHeight="1" x14ac:dyDescent="0.25">
      <c r="A103" s="170"/>
      <c r="B103" s="191"/>
      <c r="C103" s="193"/>
      <c r="D103" s="176"/>
      <c r="E103" s="170"/>
      <c r="F103" s="170"/>
      <c r="G103" s="170"/>
    </row>
    <row r="104" spans="1:7" ht="15.75" customHeight="1" x14ac:dyDescent="0.25">
      <c r="A104" s="170"/>
      <c r="B104" s="191" t="s">
        <v>181</v>
      </c>
      <c r="C104" s="196">
        <f>2*C100*C101</f>
        <v>0.25</v>
      </c>
      <c r="D104" s="176" t="s">
        <v>188</v>
      </c>
      <c r="E104" s="170"/>
      <c r="F104" s="170"/>
      <c r="G104" s="170"/>
    </row>
    <row r="105" spans="1:7" ht="15.75" customHeight="1" x14ac:dyDescent="0.25">
      <c r="A105" s="170"/>
      <c r="B105" s="191" t="s">
        <v>182</v>
      </c>
      <c r="C105" s="196">
        <f>(C96-2*C100)*C101</f>
        <v>0.51250000000000007</v>
      </c>
      <c r="D105" s="176" t="s">
        <v>188</v>
      </c>
      <c r="E105" s="170"/>
      <c r="F105" s="170"/>
      <c r="G105" s="170"/>
    </row>
    <row r="106" spans="1:7" ht="15.75" customHeight="1" x14ac:dyDescent="0.25">
      <c r="A106" s="170"/>
      <c r="B106" s="191" t="s">
        <v>264</v>
      </c>
      <c r="C106" s="241">
        <f>C102</f>
        <v>0.86499999999999999</v>
      </c>
      <c r="D106" s="176" t="s">
        <v>188</v>
      </c>
      <c r="E106" s="170"/>
      <c r="F106" s="170"/>
      <c r="G106" s="170"/>
    </row>
    <row r="107" spans="1:7" ht="15.75" customHeight="1" x14ac:dyDescent="0.25">
      <c r="A107" s="170"/>
      <c r="B107" s="191" t="s">
        <v>184</v>
      </c>
      <c r="C107" s="196">
        <f>3*C99/C98</f>
        <v>0.192</v>
      </c>
      <c r="D107" s="176" t="s">
        <v>185</v>
      </c>
      <c r="E107" s="170"/>
      <c r="F107" s="170"/>
      <c r="G107" s="170"/>
    </row>
    <row r="108" spans="1:7" ht="15.75" customHeight="1" x14ac:dyDescent="0.25">
      <c r="A108" s="170"/>
      <c r="B108" s="197" t="s">
        <v>186</v>
      </c>
      <c r="C108" s="198">
        <f>(C98-3*C99)/C98</f>
        <v>0.80800000000000005</v>
      </c>
      <c r="D108" s="176" t="s">
        <v>185</v>
      </c>
      <c r="E108" s="170"/>
      <c r="F108" s="170"/>
      <c r="G108" s="170"/>
    </row>
    <row r="109" spans="1:7" ht="16.5" customHeight="1" x14ac:dyDescent="0.25">
      <c r="A109" s="170"/>
      <c r="B109" s="199" t="s">
        <v>187</v>
      </c>
      <c r="C109" s="447">
        <f>C104+1/(C107/C105+C108/C106)</f>
        <v>1.0140947636940258</v>
      </c>
      <c r="D109" s="165" t="s">
        <v>188</v>
      </c>
      <c r="E109" s="170"/>
      <c r="F109" s="170"/>
      <c r="G109" s="170"/>
    </row>
    <row r="111" spans="1:7" x14ac:dyDescent="0.25">
      <c r="B111" s="200"/>
    </row>
    <row r="112" spans="1:7" ht="15" customHeight="1" x14ac:dyDescent="0.25">
      <c r="B112" s="200" t="s">
        <v>189</v>
      </c>
    </row>
    <row r="113" spans="1:4" ht="34.5" customHeight="1" x14ac:dyDescent="0.25">
      <c r="B113" s="522" t="s">
        <v>190</v>
      </c>
      <c r="C113" s="522"/>
      <c r="D113" s="522"/>
    </row>
    <row r="117" spans="1:4" x14ac:dyDescent="0.25">
      <c r="C117" s="200"/>
    </row>
    <row r="118" spans="1:4" x14ac:dyDescent="0.25">
      <c r="A118" s="164"/>
    </row>
    <row r="119" spans="1:4" x14ac:dyDescent="0.25">
      <c r="A119" s="164"/>
    </row>
    <row r="120" spans="1:4" x14ac:dyDescent="0.25">
      <c r="A120" s="164"/>
    </row>
    <row r="121" spans="1:4" x14ac:dyDescent="0.25">
      <c r="A121" s="164"/>
    </row>
  </sheetData>
  <sheetProtection password="BDDF" sheet="1" objects="1" scenarios="1"/>
  <mergeCells count="4">
    <mergeCell ref="B78:D78"/>
    <mergeCell ref="B113:D113"/>
    <mergeCell ref="B65:D65"/>
    <mergeCell ref="B48:D48"/>
  </mergeCells>
  <pageMargins left="0.7" right="0.7" top="0.75" bottom="0.75" header="0.3" footer="0.3"/>
  <pageSetup scale="55" orientation="portrait" r:id="rId1"/>
  <rowBreaks count="1" manualBreakCount="1">
    <brk id="36"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G121"/>
  <sheetViews>
    <sheetView zoomScale="90" zoomScaleNormal="90" workbookViewId="0">
      <selection activeCell="C53" sqref="C53"/>
    </sheetView>
  </sheetViews>
  <sheetFormatPr defaultColWidth="9.1796875" defaultRowHeight="12.5" x14ac:dyDescent="0.25"/>
  <cols>
    <col min="1" max="1" width="6.1796875" style="160" customWidth="1"/>
    <col min="2" max="2" width="51" style="160" customWidth="1"/>
    <col min="3" max="3" width="25" style="160" customWidth="1"/>
    <col min="4" max="4" width="37.26953125" style="160" customWidth="1"/>
    <col min="5" max="5" width="13.7265625" style="160" customWidth="1"/>
    <col min="6" max="6" width="14.7265625" style="160" customWidth="1"/>
    <col min="7" max="7" width="11.81640625" style="160" customWidth="1"/>
    <col min="8" max="16384" width="9.1796875" style="160"/>
  </cols>
  <sheetData>
    <row r="2" spans="1:7" ht="13" x14ac:dyDescent="0.25">
      <c r="B2" s="161" t="s">
        <v>413</v>
      </c>
    </row>
    <row r="3" spans="1:7" ht="13" x14ac:dyDescent="0.25">
      <c r="B3" s="161" t="s">
        <v>280</v>
      </c>
      <c r="C3" s="161"/>
    </row>
    <row r="4" spans="1:7" ht="14" x14ac:dyDescent="0.3">
      <c r="B4" s="436" t="s">
        <v>91</v>
      </c>
      <c r="D4" s="161" t="s">
        <v>407</v>
      </c>
    </row>
    <row r="5" spans="1:7" ht="15" customHeight="1" x14ac:dyDescent="0.25">
      <c r="B5" s="161"/>
    </row>
    <row r="6" spans="1:7" ht="47.25" customHeight="1" thickBot="1" x14ac:dyDescent="0.3">
      <c r="B6" s="434" t="s">
        <v>191</v>
      </c>
      <c r="C6" s="435" t="s">
        <v>192</v>
      </c>
      <c r="D6" s="435" t="s">
        <v>400</v>
      </c>
      <c r="E6" s="420" t="s">
        <v>209</v>
      </c>
      <c r="F6" s="421" t="s">
        <v>210</v>
      </c>
      <c r="G6" s="421" t="s">
        <v>218</v>
      </c>
    </row>
    <row r="7" spans="1:7" ht="14.25" customHeight="1" thickTop="1" x14ac:dyDescent="0.25">
      <c r="B7" s="415" t="s">
        <v>194</v>
      </c>
      <c r="C7" s="415" t="s">
        <v>244</v>
      </c>
      <c r="D7" s="415" t="s">
        <v>195</v>
      </c>
      <c r="E7" s="417"/>
      <c r="F7" s="417"/>
      <c r="G7" s="417">
        <v>2000</v>
      </c>
    </row>
    <row r="8" spans="1:7" ht="14.25" customHeight="1" x14ac:dyDescent="0.25">
      <c r="A8" s="164"/>
      <c r="B8" s="157" t="s">
        <v>0</v>
      </c>
      <c r="C8" s="157" t="s">
        <v>196</v>
      </c>
      <c r="D8" s="157" t="s">
        <v>197</v>
      </c>
      <c r="E8" s="270"/>
      <c r="F8" s="270"/>
      <c r="G8" s="270"/>
    </row>
    <row r="9" spans="1:7" ht="14.25" customHeight="1" x14ac:dyDescent="0.25">
      <c r="A9" s="164"/>
      <c r="B9" s="157" t="s">
        <v>1</v>
      </c>
      <c r="C9" s="157" t="s">
        <v>245</v>
      </c>
      <c r="D9" s="157" t="s">
        <v>295</v>
      </c>
      <c r="E9" s="270"/>
      <c r="F9" s="270">
        <v>0.75</v>
      </c>
      <c r="G9" s="270"/>
    </row>
    <row r="10" spans="1:7" ht="14.25" customHeight="1" x14ac:dyDescent="0.25">
      <c r="A10" s="164"/>
      <c r="B10" s="157" t="s">
        <v>246</v>
      </c>
      <c r="C10" s="157" t="s">
        <v>244</v>
      </c>
      <c r="D10" s="157" t="s">
        <v>258</v>
      </c>
      <c r="E10" s="218">
        <v>38</v>
      </c>
      <c r="F10" s="270"/>
      <c r="G10" s="218">
        <v>2000</v>
      </c>
    </row>
    <row r="11" spans="1:7" ht="14.25" customHeight="1" x14ac:dyDescent="0.25">
      <c r="A11" s="164"/>
      <c r="B11" s="157" t="s">
        <v>2</v>
      </c>
      <c r="C11" s="157" t="s">
        <v>247</v>
      </c>
      <c r="D11" s="157" t="s">
        <v>297</v>
      </c>
      <c r="E11" s="270">
        <v>0.65</v>
      </c>
      <c r="F11" s="270">
        <v>0.25</v>
      </c>
      <c r="G11" s="270">
        <v>10</v>
      </c>
    </row>
    <row r="12" spans="1:7" ht="14.25" customHeight="1" x14ac:dyDescent="0.25">
      <c r="A12" s="164"/>
      <c r="B12" s="157" t="s">
        <v>278</v>
      </c>
      <c r="C12" s="157" t="s">
        <v>198</v>
      </c>
      <c r="D12" s="157" t="s">
        <v>269</v>
      </c>
      <c r="E12" s="425">
        <v>6</v>
      </c>
      <c r="F12" s="153"/>
      <c r="G12" s="154">
        <f>50*10</f>
        <v>500</v>
      </c>
    </row>
    <row r="13" spans="1:7" ht="14.25" customHeight="1" x14ac:dyDescent="0.25">
      <c r="A13" s="164"/>
      <c r="B13" s="151" t="s">
        <v>382</v>
      </c>
      <c r="C13" s="151" t="s">
        <v>393</v>
      </c>
      <c r="D13" s="151" t="s">
        <v>77</v>
      </c>
      <c r="E13" s="408">
        <v>0.8</v>
      </c>
      <c r="F13" s="407">
        <v>0</v>
      </c>
      <c r="G13" s="156">
        <v>24</v>
      </c>
    </row>
    <row r="14" spans="1:7" ht="14.25" customHeight="1" x14ac:dyDescent="0.25">
      <c r="A14" s="164"/>
      <c r="B14" s="151" t="s">
        <v>383</v>
      </c>
      <c r="C14" s="151" t="s">
        <v>394</v>
      </c>
      <c r="D14" s="151" t="s">
        <v>297</v>
      </c>
      <c r="E14" s="408">
        <v>0.68</v>
      </c>
      <c r="F14" s="408">
        <v>0.46</v>
      </c>
      <c r="G14" s="156">
        <v>75</v>
      </c>
    </row>
    <row r="15" spans="1:7" ht="14.25" customHeight="1" x14ac:dyDescent="0.25">
      <c r="A15" s="164"/>
      <c r="B15" s="157" t="s">
        <v>5</v>
      </c>
      <c r="C15" s="157" t="s">
        <v>199</v>
      </c>
      <c r="D15" s="157" t="s">
        <v>269</v>
      </c>
      <c r="E15" s="155">
        <f>E12</f>
        <v>6</v>
      </c>
      <c r="F15" s="153"/>
      <c r="G15" s="155">
        <f>40*10</f>
        <v>400</v>
      </c>
    </row>
    <row r="16" spans="1:7" ht="14.25" customHeight="1" x14ac:dyDescent="0.25">
      <c r="A16" s="164"/>
      <c r="B16" s="151" t="s">
        <v>6</v>
      </c>
      <c r="C16" s="151" t="s">
        <v>394</v>
      </c>
      <c r="D16" s="151" t="s">
        <v>297</v>
      </c>
      <c r="E16" s="408">
        <v>0.27</v>
      </c>
      <c r="F16" s="408">
        <v>0.17</v>
      </c>
      <c r="G16" s="156">
        <v>75</v>
      </c>
    </row>
    <row r="17" spans="1:7" ht="14.25" customHeight="1" x14ac:dyDescent="0.25">
      <c r="A17" s="164"/>
      <c r="B17" s="157" t="s">
        <v>7</v>
      </c>
      <c r="C17" s="157" t="s">
        <v>199</v>
      </c>
      <c r="D17" s="157" t="s">
        <v>290</v>
      </c>
      <c r="E17" s="155">
        <f>E12</f>
        <v>6</v>
      </c>
      <c r="F17" s="153"/>
      <c r="G17" s="155">
        <f>40*10</f>
        <v>400</v>
      </c>
    </row>
    <row r="18" spans="1:7" ht="14.25" customHeight="1" x14ac:dyDescent="0.25">
      <c r="A18" s="164"/>
      <c r="B18" s="151" t="s">
        <v>98</v>
      </c>
      <c r="C18" s="151" t="s">
        <v>395</v>
      </c>
      <c r="D18" s="151" t="s">
        <v>297</v>
      </c>
      <c r="E18" s="433">
        <v>1.2</v>
      </c>
      <c r="F18" s="433">
        <v>0.8</v>
      </c>
      <c r="G18" s="270">
        <v>15</v>
      </c>
    </row>
    <row r="19" spans="1:7" ht="14.25" customHeight="1" x14ac:dyDescent="0.25">
      <c r="A19" s="164"/>
      <c r="B19" s="157" t="s">
        <v>396</v>
      </c>
      <c r="C19" s="157" t="s">
        <v>200</v>
      </c>
      <c r="D19" s="157" t="s">
        <v>294</v>
      </c>
      <c r="E19" s="218">
        <v>13</v>
      </c>
      <c r="F19" s="270"/>
      <c r="G19" s="270">
        <f>10*10</f>
        <v>100</v>
      </c>
    </row>
    <row r="20" spans="1:7" ht="14.25" customHeight="1" x14ac:dyDescent="0.25">
      <c r="A20" s="164"/>
      <c r="B20" s="151" t="s">
        <v>9</v>
      </c>
      <c r="C20" s="151" t="s">
        <v>397</v>
      </c>
      <c r="D20" s="151" t="s">
        <v>297</v>
      </c>
      <c r="E20" s="404">
        <f>E16</f>
        <v>0.27</v>
      </c>
      <c r="F20" s="404">
        <f>F16</f>
        <v>0.17</v>
      </c>
      <c r="G20" s="270">
        <v>60</v>
      </c>
    </row>
    <row r="21" spans="1:7" ht="14.25" customHeight="1" x14ac:dyDescent="0.25">
      <c r="A21" s="164"/>
      <c r="B21" s="157" t="s">
        <v>10</v>
      </c>
      <c r="C21" s="157" t="s">
        <v>199</v>
      </c>
      <c r="D21" s="157" t="s">
        <v>290</v>
      </c>
      <c r="E21" s="155">
        <f>E12</f>
        <v>6</v>
      </c>
      <c r="F21" s="153"/>
      <c r="G21" s="155">
        <f>40*10</f>
        <v>400</v>
      </c>
    </row>
    <row r="22" spans="1:7" ht="14.25" customHeight="1" x14ac:dyDescent="0.25">
      <c r="A22" s="164"/>
      <c r="B22" s="151" t="s">
        <v>11</v>
      </c>
      <c r="C22" s="151" t="s">
        <v>394</v>
      </c>
      <c r="D22" s="151" t="s">
        <v>297</v>
      </c>
      <c r="E22" s="404">
        <f>E16</f>
        <v>0.27</v>
      </c>
      <c r="F22" s="404">
        <f>F16</f>
        <v>0.17</v>
      </c>
      <c r="G22" s="270">
        <v>75</v>
      </c>
    </row>
    <row r="23" spans="1:7" ht="14.25" customHeight="1" x14ac:dyDescent="0.25">
      <c r="A23" s="164"/>
      <c r="B23" s="157" t="s">
        <v>12</v>
      </c>
      <c r="C23" s="157" t="s">
        <v>286</v>
      </c>
      <c r="D23" s="157" t="s">
        <v>291</v>
      </c>
      <c r="E23" s="218">
        <v>5</v>
      </c>
      <c r="F23" s="270"/>
      <c r="G23" s="270"/>
    </row>
    <row r="24" spans="1:7" ht="14.25" customHeight="1" x14ac:dyDescent="0.25">
      <c r="A24" s="164"/>
      <c r="B24" s="157" t="s">
        <v>13</v>
      </c>
      <c r="C24" s="157" t="s">
        <v>201</v>
      </c>
      <c r="D24" s="157" t="s">
        <v>292</v>
      </c>
      <c r="E24" s="270">
        <v>8.1999999999999993</v>
      </c>
      <c r="F24" s="270"/>
      <c r="G24" s="270"/>
    </row>
    <row r="25" spans="1:7" ht="14.25" customHeight="1" x14ac:dyDescent="0.25">
      <c r="A25" s="164"/>
      <c r="B25" s="157" t="s">
        <v>14</v>
      </c>
      <c r="C25" s="157" t="s">
        <v>201</v>
      </c>
      <c r="D25" s="157" t="s">
        <v>293</v>
      </c>
      <c r="E25" s="218">
        <v>14</v>
      </c>
      <c r="F25" s="270"/>
      <c r="G25" s="270"/>
    </row>
    <row r="26" spans="1:7" ht="14.25" customHeight="1" x14ac:dyDescent="0.25">
      <c r="A26" s="164"/>
      <c r="B26" s="157" t="s">
        <v>15</v>
      </c>
      <c r="C26" s="157" t="s">
        <v>202</v>
      </c>
      <c r="D26" s="157" t="s">
        <v>415</v>
      </c>
      <c r="E26" s="425">
        <v>8</v>
      </c>
      <c r="F26" s="153"/>
      <c r="G26" s="153"/>
    </row>
    <row r="27" spans="1:7" ht="14.25" customHeight="1" x14ac:dyDescent="0.25">
      <c r="A27" s="164"/>
      <c r="B27" s="157" t="s">
        <v>281</v>
      </c>
      <c r="C27" s="157" t="s">
        <v>203</v>
      </c>
      <c r="D27" s="157" t="s">
        <v>415</v>
      </c>
      <c r="E27" s="218">
        <v>6</v>
      </c>
      <c r="F27" s="270"/>
      <c r="G27" s="270"/>
    </row>
    <row r="28" spans="1:7" ht="15.75" customHeight="1" x14ac:dyDescent="0.25">
      <c r="A28" s="164"/>
      <c r="B28" s="157" t="s">
        <v>17</v>
      </c>
      <c r="C28" s="157"/>
      <c r="D28" s="157" t="s">
        <v>287</v>
      </c>
      <c r="E28" s="270">
        <v>0.04</v>
      </c>
      <c r="F28" s="270"/>
      <c r="G28" s="270"/>
    </row>
    <row r="29" spans="1:7" ht="14.25" customHeight="1" x14ac:dyDescent="0.25">
      <c r="A29" s="164"/>
      <c r="B29" s="157" t="s">
        <v>282</v>
      </c>
      <c r="C29" s="157" t="s">
        <v>201</v>
      </c>
      <c r="D29" s="157" t="s">
        <v>299</v>
      </c>
      <c r="E29" s="254">
        <v>0.02</v>
      </c>
      <c r="F29" s="270"/>
      <c r="G29" s="270"/>
    </row>
    <row r="30" spans="1:7" ht="14.25" customHeight="1" x14ac:dyDescent="0.25">
      <c r="A30" s="164"/>
      <c r="B30" s="157" t="s">
        <v>19</v>
      </c>
      <c r="C30" s="157" t="s">
        <v>204</v>
      </c>
      <c r="D30" s="157" t="s">
        <v>205</v>
      </c>
      <c r="E30" s="270" t="s">
        <v>205</v>
      </c>
      <c r="F30" s="270"/>
      <c r="G30" s="270"/>
    </row>
    <row r="31" spans="1:7" ht="14.25" customHeight="1" x14ac:dyDescent="0.25">
      <c r="A31" s="164"/>
      <c r="B31" s="157" t="s">
        <v>20</v>
      </c>
      <c r="C31" s="157" t="s">
        <v>206</v>
      </c>
      <c r="D31" s="157" t="s">
        <v>288</v>
      </c>
      <c r="E31" s="270">
        <v>0.95</v>
      </c>
      <c r="F31" s="270"/>
      <c r="G31" s="270"/>
    </row>
    <row r="32" spans="1:7" ht="14.25" customHeight="1" x14ac:dyDescent="0.25">
      <c r="A32" s="164"/>
      <c r="B32" s="157" t="s">
        <v>21</v>
      </c>
      <c r="C32" s="157" t="s">
        <v>207</v>
      </c>
      <c r="D32" s="157" t="s">
        <v>289</v>
      </c>
      <c r="E32" s="270">
        <v>3</v>
      </c>
      <c r="F32" s="270"/>
      <c r="G32" s="270"/>
    </row>
    <row r="33" spans="1:7" ht="14.25" customHeight="1" x14ac:dyDescent="0.25">
      <c r="A33" s="164"/>
      <c r="B33" s="157" t="s">
        <v>22</v>
      </c>
      <c r="C33" s="157" t="s">
        <v>195</v>
      </c>
      <c r="D33" s="157" t="s">
        <v>195</v>
      </c>
      <c r="E33" s="270" t="s">
        <v>205</v>
      </c>
      <c r="F33" s="270"/>
      <c r="G33" s="270"/>
    </row>
    <row r="34" spans="1:7" ht="14.25" customHeight="1" x14ac:dyDescent="0.25">
      <c r="A34" s="164"/>
      <c r="B34" s="157" t="s">
        <v>23</v>
      </c>
      <c r="C34" s="157" t="s">
        <v>208</v>
      </c>
      <c r="D34" s="157" t="s">
        <v>296</v>
      </c>
      <c r="E34" s="426">
        <f>75/100</f>
        <v>0.75</v>
      </c>
      <c r="F34" s="270"/>
      <c r="G34" s="270"/>
    </row>
    <row r="35" spans="1:7" ht="14.25" customHeight="1" thickBot="1" x14ac:dyDescent="0.3">
      <c r="A35" s="164"/>
      <c r="B35" s="414" t="s">
        <v>24</v>
      </c>
      <c r="C35" s="414" t="s">
        <v>195</v>
      </c>
      <c r="D35" s="414" t="s">
        <v>195</v>
      </c>
      <c r="E35" s="432" t="s">
        <v>205</v>
      </c>
      <c r="F35" s="432"/>
      <c r="G35" s="432"/>
    </row>
    <row r="36" spans="1:7" ht="14.25" customHeight="1" thickTop="1" x14ac:dyDescent="0.25">
      <c r="A36" s="164"/>
      <c r="B36" s="159"/>
      <c r="C36" s="159"/>
      <c r="D36" s="159"/>
      <c r="E36" s="127"/>
      <c r="F36" s="127"/>
      <c r="G36" s="127"/>
    </row>
    <row r="37" spans="1:7" ht="14.25" customHeight="1" thickBot="1" x14ac:dyDescent="0.3">
      <c r="A37" s="164"/>
      <c r="B37" s="443" t="s">
        <v>401</v>
      </c>
      <c r="C37" s="440"/>
      <c r="D37" s="440"/>
      <c r="E37" s="441"/>
      <c r="F37" s="441"/>
      <c r="G37" s="442"/>
    </row>
    <row r="38" spans="1:7" ht="13.5" customHeight="1" thickTop="1" x14ac:dyDescent="0.25">
      <c r="B38" s="415" t="s">
        <v>114</v>
      </c>
      <c r="C38" s="430"/>
      <c r="D38" s="430"/>
      <c r="E38" s="430"/>
      <c r="F38" s="430"/>
      <c r="G38" s="430"/>
    </row>
    <row r="39" spans="1:7" ht="13.5" customHeight="1" x14ac:dyDescent="0.25">
      <c r="B39" s="157" t="s">
        <v>115</v>
      </c>
      <c r="C39" s="428"/>
      <c r="D39" s="428"/>
      <c r="E39" s="428"/>
      <c r="F39" s="428"/>
      <c r="G39" s="428"/>
    </row>
    <row r="40" spans="1:7" ht="13.5" customHeight="1" x14ac:dyDescent="0.25">
      <c r="B40" s="157" t="s">
        <v>71</v>
      </c>
      <c r="C40" s="428"/>
      <c r="D40" s="428"/>
      <c r="E40" s="428"/>
      <c r="F40" s="428"/>
      <c r="G40" s="428"/>
    </row>
    <row r="41" spans="1:7" ht="13.5" customHeight="1" x14ac:dyDescent="0.25">
      <c r="B41" s="157" t="s">
        <v>116</v>
      </c>
      <c r="C41" s="428"/>
      <c r="D41" s="428"/>
      <c r="E41" s="428"/>
      <c r="F41" s="428"/>
      <c r="G41" s="428"/>
    </row>
    <row r="42" spans="1:7" ht="13.5" customHeight="1" x14ac:dyDescent="0.25">
      <c r="B42" s="157" t="s">
        <v>117</v>
      </c>
      <c r="C42" s="428"/>
      <c r="D42" s="428"/>
      <c r="E42" s="428"/>
      <c r="F42" s="428"/>
      <c r="G42" s="428"/>
    </row>
    <row r="43" spans="1:7" ht="13.5" customHeight="1" x14ac:dyDescent="0.25">
      <c r="B43" s="157" t="s">
        <v>78</v>
      </c>
      <c r="C43" s="428"/>
      <c r="D43" s="428"/>
      <c r="E43" s="428"/>
      <c r="F43" s="428"/>
      <c r="G43" s="428"/>
    </row>
    <row r="44" spans="1:7" ht="13.5" customHeight="1" x14ac:dyDescent="0.25">
      <c r="B44" s="157" t="s">
        <v>72</v>
      </c>
      <c r="C44" s="428"/>
      <c r="D44" s="428"/>
      <c r="E44" s="428"/>
      <c r="F44" s="428"/>
      <c r="G44" s="428"/>
    </row>
    <row r="45" spans="1:7" ht="13.5" customHeight="1" thickBot="1" x14ac:dyDescent="0.3">
      <c r="B45" s="414" t="s">
        <v>92</v>
      </c>
      <c r="C45" s="429"/>
      <c r="D45" s="429"/>
      <c r="E45" s="429"/>
      <c r="F45" s="429"/>
      <c r="G45" s="429"/>
    </row>
    <row r="46" spans="1:7" ht="13.5" customHeight="1" thickTop="1" x14ac:dyDescent="0.25"/>
    <row r="47" spans="1:7" ht="13.5" customHeight="1" x14ac:dyDescent="0.25"/>
    <row r="48" spans="1:7" ht="19.5" customHeight="1" x14ac:dyDescent="0.25">
      <c r="B48" s="524" t="s">
        <v>384</v>
      </c>
      <c r="C48" s="524"/>
      <c r="D48" s="524"/>
    </row>
    <row r="49" spans="2:6" ht="21" customHeight="1" x14ac:dyDescent="0.25">
      <c r="B49" s="131" t="s">
        <v>219</v>
      </c>
      <c r="F49" s="437"/>
    </row>
    <row r="50" spans="2:6" ht="14.25" customHeight="1" x14ac:dyDescent="0.25">
      <c r="B50" s="269" t="s">
        <v>217</v>
      </c>
      <c r="C50" s="165">
        <v>7.0000000000000007E-2</v>
      </c>
      <c r="D50" s="166" t="s">
        <v>255</v>
      </c>
    </row>
    <row r="51" spans="2:6" ht="15" customHeight="1" x14ac:dyDescent="0.25"/>
    <row r="52" spans="2:6" ht="15" customHeight="1" x14ac:dyDescent="0.25">
      <c r="B52" s="269" t="s">
        <v>211</v>
      </c>
      <c r="C52" s="270" t="s">
        <v>212</v>
      </c>
      <c r="D52" s="165" t="s">
        <v>149</v>
      </c>
    </row>
    <row r="53" spans="2:6" ht="15" customHeight="1" x14ac:dyDescent="0.25">
      <c r="B53" s="486" t="s">
        <v>431</v>
      </c>
      <c r="C53" s="127">
        <v>0.25</v>
      </c>
      <c r="D53" s="129" t="s">
        <v>157</v>
      </c>
    </row>
    <row r="54" spans="2:6" ht="15" customHeight="1" x14ac:dyDescent="0.25">
      <c r="B54" s="486" t="s">
        <v>432</v>
      </c>
      <c r="C54" s="127">
        <v>1.25</v>
      </c>
      <c r="D54" s="129" t="s">
        <v>441</v>
      </c>
    </row>
    <row r="55" spans="2:6" ht="15" customHeight="1" x14ac:dyDescent="0.25">
      <c r="B55" s="486" t="s">
        <v>433</v>
      </c>
      <c r="C55" s="127">
        <v>0.76</v>
      </c>
      <c r="D55" s="129" t="s">
        <v>157</v>
      </c>
    </row>
    <row r="56" spans="2:6" ht="14.25" customHeight="1" x14ac:dyDescent="0.25">
      <c r="B56" s="129" t="s">
        <v>151</v>
      </c>
      <c r="C56" s="167">
        <v>0.61</v>
      </c>
      <c r="D56" s="168" t="s">
        <v>152</v>
      </c>
    </row>
    <row r="57" spans="2:6" ht="14.25" customHeight="1" x14ac:dyDescent="0.25">
      <c r="B57" s="129" t="str">
        <f>"Batt Insulation R"&amp;C57</f>
        <v>Batt Insulation R38</v>
      </c>
      <c r="C57" s="220">
        <f>E10</f>
        <v>38</v>
      </c>
      <c r="D57" s="129"/>
    </row>
    <row r="58" spans="2:6" ht="14.25" customHeight="1" x14ac:dyDescent="0.25">
      <c r="B58" s="129" t="s">
        <v>153</v>
      </c>
      <c r="C58" s="167">
        <v>4.38</v>
      </c>
      <c r="D58" s="129" t="s">
        <v>154</v>
      </c>
    </row>
    <row r="59" spans="2:6" ht="14.25" customHeight="1" x14ac:dyDescent="0.25">
      <c r="B59" s="129" t="s">
        <v>215</v>
      </c>
      <c r="C59" s="167">
        <v>0.45</v>
      </c>
      <c r="D59" s="129" t="s">
        <v>155</v>
      </c>
    </row>
    <row r="60" spans="2:6" ht="14.25" customHeight="1" x14ac:dyDescent="0.25">
      <c r="B60" s="130" t="s">
        <v>156</v>
      </c>
      <c r="C60" s="169">
        <v>0.92</v>
      </c>
      <c r="D60" s="130" t="s">
        <v>157</v>
      </c>
    </row>
    <row r="63" spans="2:6" x14ac:dyDescent="0.25">
      <c r="B63" s="160" t="s">
        <v>241</v>
      </c>
    </row>
    <row r="64" spans="2:6" x14ac:dyDescent="0.25">
      <c r="B64" s="160" t="s">
        <v>381</v>
      </c>
    </row>
    <row r="65" spans="1:6" ht="42.75" customHeight="1" x14ac:dyDescent="0.25">
      <c r="B65" s="525" t="s">
        <v>398</v>
      </c>
      <c r="C65" s="525"/>
      <c r="D65" s="525"/>
      <c r="F65" s="126"/>
    </row>
    <row r="66" spans="1:6" ht="27.75" customHeight="1" x14ac:dyDescent="0.25">
      <c r="A66" s="170"/>
      <c r="B66" s="269" t="s">
        <v>211</v>
      </c>
      <c r="C66" s="270" t="s">
        <v>212</v>
      </c>
      <c r="D66" s="171" t="s">
        <v>149</v>
      </c>
      <c r="E66" s="170"/>
    </row>
    <row r="67" spans="1:6" ht="14.25" customHeight="1" x14ac:dyDescent="0.25">
      <c r="A67" s="167"/>
      <c r="B67" s="128" t="s">
        <v>162</v>
      </c>
      <c r="C67" s="171">
        <v>0.25</v>
      </c>
      <c r="D67" s="172" t="s">
        <v>157</v>
      </c>
      <c r="E67" s="170"/>
    </row>
    <row r="68" spans="1:6" ht="14.25" customHeight="1" x14ac:dyDescent="0.25">
      <c r="A68" s="167"/>
      <c r="B68" s="129" t="s">
        <v>221</v>
      </c>
      <c r="C68" s="173">
        <f>0.8/9.7</f>
        <v>8.2474226804123724E-2</v>
      </c>
      <c r="D68" s="129" t="s">
        <v>163</v>
      </c>
      <c r="E68" s="170"/>
      <c r="F68" s="170"/>
    </row>
    <row r="69" spans="1:6" ht="14.25" customHeight="1" x14ac:dyDescent="0.25">
      <c r="A69" s="167"/>
      <c r="B69" s="129" t="s">
        <v>274</v>
      </c>
      <c r="C69" s="174">
        <v>0</v>
      </c>
      <c r="D69" s="129"/>
      <c r="E69" s="170"/>
      <c r="F69" s="170"/>
    </row>
    <row r="70" spans="1:6" ht="14.25" customHeight="1" x14ac:dyDescent="0.25">
      <c r="A70" s="167"/>
      <c r="B70" s="129" t="s">
        <v>213</v>
      </c>
      <c r="C70" s="175">
        <f>C109</f>
        <v>1.0140947636940258</v>
      </c>
      <c r="D70" s="129" t="s">
        <v>165</v>
      </c>
      <c r="E70" s="170"/>
      <c r="F70" s="170"/>
    </row>
    <row r="71" spans="1:6" ht="14.25" customHeight="1" x14ac:dyDescent="0.25">
      <c r="A71" s="167"/>
      <c r="B71" s="129" t="str">
        <f>"1 Inch"&amp;" R"&amp;C71&amp;" "&amp;"Insulation Board"</f>
        <v>1 Inch R6 Insulation Board</v>
      </c>
      <c r="C71" s="175">
        <f>E12</f>
        <v>6</v>
      </c>
      <c r="D71" s="129"/>
      <c r="E71" s="170"/>
      <c r="F71" s="170"/>
    </row>
    <row r="72" spans="1:6" ht="14.25" customHeight="1" x14ac:dyDescent="0.25">
      <c r="A72" s="167"/>
      <c r="B72" s="129" t="s">
        <v>214</v>
      </c>
      <c r="C72" s="176">
        <v>1.22</v>
      </c>
      <c r="D72" s="129" t="s">
        <v>166</v>
      </c>
      <c r="E72" s="170"/>
      <c r="F72" s="170"/>
    </row>
    <row r="73" spans="1:6" ht="14.25" customHeight="1" x14ac:dyDescent="0.25">
      <c r="A73" s="167"/>
      <c r="B73" s="129" t="s">
        <v>215</v>
      </c>
      <c r="C73" s="176">
        <v>0.45</v>
      </c>
      <c r="D73" s="129" t="s">
        <v>155</v>
      </c>
      <c r="E73" s="170"/>
    </row>
    <row r="74" spans="1:6" ht="14.25" customHeight="1" x14ac:dyDescent="0.25">
      <c r="A74" s="167"/>
      <c r="B74" s="130" t="s">
        <v>167</v>
      </c>
      <c r="C74" s="177">
        <v>0.68</v>
      </c>
      <c r="D74" s="130" t="s">
        <v>157</v>
      </c>
      <c r="E74" s="170"/>
      <c r="F74" s="170"/>
    </row>
    <row r="75" spans="1:6" ht="13.5" customHeight="1" x14ac:dyDescent="0.25"/>
    <row r="76" spans="1:6" ht="13.5" customHeight="1" x14ac:dyDescent="0.25"/>
    <row r="77" spans="1:6" ht="13.5" customHeight="1" x14ac:dyDescent="0.25">
      <c r="A77" s="160" t="s">
        <v>241</v>
      </c>
    </row>
    <row r="78" spans="1:6" ht="36.75" customHeight="1" x14ac:dyDescent="0.25">
      <c r="B78" s="525" t="s">
        <v>399</v>
      </c>
      <c r="C78" s="525"/>
      <c r="D78" s="525"/>
      <c r="E78" s="178"/>
    </row>
    <row r="79" spans="1:6" ht="16.5" customHeight="1" x14ac:dyDescent="0.25">
      <c r="A79" s="178"/>
      <c r="B79" s="269" t="s">
        <v>222</v>
      </c>
      <c r="C79" s="267">
        <f>0.25</f>
        <v>0.25</v>
      </c>
      <c r="D79" s="270"/>
      <c r="E79" s="178"/>
    </row>
    <row r="80" spans="1:6" ht="13.5" customHeight="1" x14ac:dyDescent="0.25">
      <c r="A80" s="170"/>
      <c r="E80" s="127"/>
    </row>
    <row r="81" spans="1:7" ht="16.5" customHeight="1" x14ac:dyDescent="0.25">
      <c r="B81" s="131" t="s">
        <v>220</v>
      </c>
      <c r="E81" s="179"/>
    </row>
    <row r="82" spans="1:7" ht="16.5" customHeight="1" x14ac:dyDescent="0.25">
      <c r="B82" s="269" t="s">
        <v>211</v>
      </c>
      <c r="C82" s="270" t="s">
        <v>212</v>
      </c>
      <c r="D82" s="165" t="s">
        <v>149</v>
      </c>
      <c r="E82" s="179"/>
    </row>
    <row r="83" spans="1:7" ht="15.75" customHeight="1" x14ac:dyDescent="0.25">
      <c r="A83" s="167"/>
      <c r="B83" s="128" t="s">
        <v>162</v>
      </c>
      <c r="C83" s="180">
        <v>0.25</v>
      </c>
      <c r="D83" s="172" t="s">
        <v>157</v>
      </c>
      <c r="E83" s="181"/>
    </row>
    <row r="84" spans="1:7" ht="15.75" customHeight="1" x14ac:dyDescent="0.25">
      <c r="A84" s="167"/>
      <c r="B84" s="129" t="s">
        <v>221</v>
      </c>
      <c r="C84" s="173">
        <f>0.8/9.7</f>
        <v>8.2474226804123724E-2</v>
      </c>
      <c r="D84" s="182" t="s">
        <v>163</v>
      </c>
      <c r="E84" s="181"/>
    </row>
    <row r="85" spans="1:7" ht="15.75" customHeight="1" x14ac:dyDescent="0.25">
      <c r="A85" s="167"/>
      <c r="B85" s="129" t="s">
        <v>275</v>
      </c>
      <c r="C85" s="181">
        <v>0.79</v>
      </c>
      <c r="D85" s="183" t="s">
        <v>155</v>
      </c>
      <c r="E85" s="184"/>
    </row>
    <row r="86" spans="1:7" ht="15.75" customHeight="1" x14ac:dyDescent="0.25">
      <c r="A86" s="167"/>
      <c r="B86" s="129" t="s">
        <v>153</v>
      </c>
      <c r="C86" s="181">
        <v>4.38</v>
      </c>
      <c r="D86" s="183" t="s">
        <v>154</v>
      </c>
      <c r="E86" s="167"/>
    </row>
    <row r="87" spans="1:7" ht="15.75" customHeight="1" x14ac:dyDescent="0.25">
      <c r="A87" s="167"/>
      <c r="B87" s="129" t="str">
        <f>"Fiber Glass Batt Insulation"&amp;" R"&amp;C87</f>
        <v>Fiber Glass Batt Insulation R13</v>
      </c>
      <c r="C87" s="219">
        <f>E19</f>
        <v>13</v>
      </c>
      <c r="D87" s="185"/>
      <c r="E87" s="167"/>
    </row>
    <row r="88" spans="1:7" ht="15.75" customHeight="1" x14ac:dyDescent="0.25">
      <c r="A88" s="167"/>
      <c r="B88" s="129" t="s">
        <v>215</v>
      </c>
      <c r="C88" s="167">
        <v>0.45</v>
      </c>
      <c r="D88" s="168" t="s">
        <v>155</v>
      </c>
    </row>
    <row r="89" spans="1:7" ht="15.75" customHeight="1" x14ac:dyDescent="0.25">
      <c r="A89" s="167"/>
      <c r="B89" s="130" t="s">
        <v>167</v>
      </c>
      <c r="C89" s="169">
        <v>0.68</v>
      </c>
      <c r="D89" s="186" t="s">
        <v>157</v>
      </c>
    </row>
    <row r="90" spans="1:7" ht="14.25" customHeight="1" x14ac:dyDescent="0.25"/>
    <row r="91" spans="1:7" ht="14.25" customHeight="1" x14ac:dyDescent="0.25"/>
    <row r="92" spans="1:7" ht="14.25" customHeight="1" x14ac:dyDescent="0.25"/>
    <row r="93" spans="1:7" ht="14.25" customHeight="1" x14ac:dyDescent="0.25"/>
    <row r="94" spans="1:7" ht="16.5" customHeight="1" x14ac:dyDescent="0.25">
      <c r="A94" s="170"/>
      <c r="B94" s="166" t="s">
        <v>223</v>
      </c>
      <c r="C94" s="187"/>
      <c r="D94" s="128"/>
      <c r="E94" s="170"/>
      <c r="F94" s="170"/>
      <c r="G94" s="170"/>
    </row>
    <row r="95" spans="1:7" ht="16.5" customHeight="1" x14ac:dyDescent="0.25">
      <c r="A95" s="170"/>
      <c r="B95" s="269" t="s">
        <v>256</v>
      </c>
      <c r="C95" s="188" t="s">
        <v>171</v>
      </c>
      <c r="D95" s="165" t="s">
        <v>172</v>
      </c>
      <c r="E95" s="167"/>
      <c r="F95" s="170"/>
      <c r="G95" s="170"/>
    </row>
    <row r="96" spans="1:7" ht="15.75" customHeight="1" x14ac:dyDescent="0.25">
      <c r="A96" s="170"/>
      <c r="B96" s="189" t="s">
        <v>173</v>
      </c>
      <c r="C96" s="190">
        <v>7.625</v>
      </c>
      <c r="D96" s="171" t="s">
        <v>174</v>
      </c>
      <c r="E96" s="170"/>
      <c r="F96" s="170"/>
      <c r="G96" s="170"/>
    </row>
    <row r="97" spans="1:7" ht="15.75" customHeight="1" x14ac:dyDescent="0.25">
      <c r="A97" s="170"/>
      <c r="B97" s="191" t="s">
        <v>175</v>
      </c>
      <c r="C97" s="192">
        <v>7.625</v>
      </c>
      <c r="D97" s="176" t="s">
        <v>174</v>
      </c>
      <c r="E97" s="170"/>
      <c r="F97" s="170"/>
      <c r="G97" s="170"/>
    </row>
    <row r="98" spans="1:7" ht="15.75" customHeight="1" x14ac:dyDescent="0.25">
      <c r="A98" s="170"/>
      <c r="B98" s="191" t="s">
        <v>176</v>
      </c>
      <c r="C98" s="193">
        <v>15.625</v>
      </c>
      <c r="D98" s="176" t="s">
        <v>174</v>
      </c>
      <c r="E98" s="170"/>
      <c r="F98" s="170"/>
      <c r="G98" s="170"/>
    </row>
    <row r="99" spans="1:7" ht="15.75" customHeight="1" x14ac:dyDescent="0.25">
      <c r="A99" s="170"/>
      <c r="B99" s="191" t="s">
        <v>177</v>
      </c>
      <c r="C99" s="194">
        <v>1</v>
      </c>
      <c r="D99" s="176" t="s">
        <v>174</v>
      </c>
      <c r="E99" s="170"/>
      <c r="F99" s="170"/>
      <c r="G99" s="170"/>
    </row>
    <row r="100" spans="1:7" ht="15.75" customHeight="1" x14ac:dyDescent="0.25">
      <c r="A100" s="170"/>
      <c r="B100" s="191" t="s">
        <v>178</v>
      </c>
      <c r="C100" s="193">
        <v>1.25</v>
      </c>
      <c r="D100" s="176" t="s">
        <v>174</v>
      </c>
      <c r="E100" s="170"/>
      <c r="F100" s="170"/>
      <c r="G100" s="170"/>
    </row>
    <row r="101" spans="1:7" ht="15.75" customHeight="1" x14ac:dyDescent="0.25">
      <c r="A101" s="170"/>
      <c r="B101" s="191" t="s">
        <v>179</v>
      </c>
      <c r="C101" s="195">
        <v>0.1</v>
      </c>
      <c r="D101" s="176" t="s">
        <v>188</v>
      </c>
      <c r="E101" s="170"/>
      <c r="F101" s="170"/>
      <c r="G101" s="170"/>
    </row>
    <row r="102" spans="1:7" ht="15.75" customHeight="1" x14ac:dyDescent="0.25">
      <c r="A102" s="170"/>
      <c r="B102" s="191" t="s">
        <v>263</v>
      </c>
      <c r="C102" s="192">
        <v>0.86499999999999999</v>
      </c>
      <c r="D102" s="176" t="s">
        <v>188</v>
      </c>
      <c r="E102" s="170"/>
      <c r="F102" s="170"/>
      <c r="G102" s="170"/>
    </row>
    <row r="103" spans="1:7" ht="13.5" customHeight="1" x14ac:dyDescent="0.25">
      <c r="A103" s="170"/>
      <c r="B103" s="191"/>
      <c r="C103" s="193"/>
      <c r="D103" s="176"/>
      <c r="E103" s="170"/>
      <c r="F103" s="170"/>
      <c r="G103" s="170"/>
    </row>
    <row r="104" spans="1:7" ht="15.75" customHeight="1" x14ac:dyDescent="0.25">
      <c r="A104" s="170"/>
      <c r="B104" s="191" t="s">
        <v>181</v>
      </c>
      <c r="C104" s="196">
        <f>2*C100*C101</f>
        <v>0.25</v>
      </c>
      <c r="D104" s="176" t="s">
        <v>188</v>
      </c>
      <c r="E104" s="170"/>
      <c r="F104" s="170"/>
      <c r="G104" s="170"/>
    </row>
    <row r="105" spans="1:7" ht="15.75" customHeight="1" x14ac:dyDescent="0.25">
      <c r="A105" s="170"/>
      <c r="B105" s="191" t="s">
        <v>182</v>
      </c>
      <c r="C105" s="196">
        <f>(C96-2*C100)*C101</f>
        <v>0.51250000000000007</v>
      </c>
      <c r="D105" s="176" t="s">
        <v>188</v>
      </c>
      <c r="E105" s="170"/>
      <c r="F105" s="170"/>
      <c r="G105" s="170"/>
    </row>
    <row r="106" spans="1:7" ht="15.75" customHeight="1" x14ac:dyDescent="0.25">
      <c r="A106" s="170"/>
      <c r="B106" s="191" t="s">
        <v>264</v>
      </c>
      <c r="C106" s="241">
        <f>C102</f>
        <v>0.86499999999999999</v>
      </c>
      <c r="D106" s="176" t="s">
        <v>188</v>
      </c>
      <c r="E106" s="170"/>
      <c r="F106" s="170"/>
      <c r="G106" s="170"/>
    </row>
    <row r="107" spans="1:7" ht="15.75" customHeight="1" x14ac:dyDescent="0.25">
      <c r="A107" s="170"/>
      <c r="B107" s="191" t="s">
        <v>184</v>
      </c>
      <c r="C107" s="196">
        <f>3*C99/C98</f>
        <v>0.192</v>
      </c>
      <c r="D107" s="176" t="s">
        <v>185</v>
      </c>
      <c r="E107" s="170"/>
      <c r="F107" s="170"/>
      <c r="G107" s="170"/>
    </row>
    <row r="108" spans="1:7" ht="15.75" customHeight="1" x14ac:dyDescent="0.25">
      <c r="A108" s="170"/>
      <c r="B108" s="197" t="s">
        <v>186</v>
      </c>
      <c r="C108" s="198">
        <f>(C98-3*C99)/C98</f>
        <v>0.80800000000000005</v>
      </c>
      <c r="D108" s="176" t="s">
        <v>185</v>
      </c>
      <c r="E108" s="170"/>
      <c r="F108" s="170"/>
      <c r="G108" s="170"/>
    </row>
    <row r="109" spans="1:7" ht="16.5" customHeight="1" x14ac:dyDescent="0.25">
      <c r="A109" s="170"/>
      <c r="B109" s="199" t="s">
        <v>187</v>
      </c>
      <c r="C109" s="447">
        <f>C104+1/(C107/C105+C108/C106)</f>
        <v>1.0140947636940258</v>
      </c>
      <c r="D109" s="165" t="s">
        <v>188</v>
      </c>
      <c r="E109" s="170"/>
      <c r="F109" s="170"/>
      <c r="G109" s="170"/>
    </row>
    <row r="111" spans="1:7" x14ac:dyDescent="0.25">
      <c r="B111" s="200"/>
    </row>
    <row r="112" spans="1:7" ht="15" customHeight="1" x14ac:dyDescent="0.25">
      <c r="B112" s="200" t="s">
        <v>189</v>
      </c>
    </row>
    <row r="113" spans="1:4" ht="34.5" customHeight="1" x14ac:dyDescent="0.25">
      <c r="B113" s="522" t="s">
        <v>190</v>
      </c>
      <c r="C113" s="522"/>
      <c r="D113" s="522"/>
    </row>
    <row r="117" spans="1:4" x14ac:dyDescent="0.25">
      <c r="C117" s="200"/>
    </row>
    <row r="118" spans="1:4" x14ac:dyDescent="0.25">
      <c r="A118" s="164"/>
    </row>
    <row r="119" spans="1:4" x14ac:dyDescent="0.25">
      <c r="A119" s="164"/>
    </row>
    <row r="120" spans="1:4" x14ac:dyDescent="0.25">
      <c r="A120" s="164"/>
    </row>
    <row r="121" spans="1:4" x14ac:dyDescent="0.25">
      <c r="A121" s="164"/>
    </row>
  </sheetData>
  <sheetProtection password="BDDF" sheet="1" objects="1" scenarios="1"/>
  <mergeCells count="4">
    <mergeCell ref="B48:D48"/>
    <mergeCell ref="B65:D65"/>
    <mergeCell ref="B78:D78"/>
    <mergeCell ref="B113:D113"/>
  </mergeCells>
  <pageMargins left="0.7" right="0.7" top="0.75" bottom="0.75" header="0.3" footer="0.3"/>
  <pageSetup scale="55" orientation="portrait" r:id="rId1"/>
  <rowBreaks count="1" manualBreakCount="1">
    <brk id="36" max="16383" man="1"/>
  </rowBreak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sheetPr>
  <dimension ref="A2:G90"/>
  <sheetViews>
    <sheetView topLeftCell="A22" zoomScale="80" zoomScaleNormal="80" workbookViewId="0">
      <selection activeCell="F18" sqref="F18"/>
    </sheetView>
  </sheetViews>
  <sheetFormatPr defaultColWidth="9.1796875" defaultRowHeight="12.5" x14ac:dyDescent="0.25"/>
  <cols>
    <col min="1" max="1" width="6.1796875" style="160" customWidth="1"/>
    <col min="2" max="2" width="51" style="160" customWidth="1"/>
    <col min="3" max="3" width="25" style="160" customWidth="1"/>
    <col min="4" max="4" width="37.26953125" style="160" customWidth="1"/>
    <col min="5" max="5" width="13.7265625" style="160" customWidth="1"/>
    <col min="6" max="6" width="14.7265625" style="160" customWidth="1"/>
    <col min="7" max="7" width="11.81640625" style="160" customWidth="1"/>
    <col min="8" max="16384" width="9.1796875" style="160"/>
  </cols>
  <sheetData>
    <row r="2" spans="1:7" ht="13" x14ac:dyDescent="0.25">
      <c r="B2" s="161" t="s">
        <v>414</v>
      </c>
    </row>
    <row r="3" spans="1:7" ht="13" x14ac:dyDescent="0.25">
      <c r="B3" s="161" t="s">
        <v>280</v>
      </c>
      <c r="C3" s="161"/>
    </row>
    <row r="4" spans="1:7" ht="14.5" x14ac:dyDescent="0.35">
      <c r="B4" s="4" t="s">
        <v>95</v>
      </c>
      <c r="D4" s="161" t="s">
        <v>407</v>
      </c>
    </row>
    <row r="5" spans="1:7" ht="15" customHeight="1" x14ac:dyDescent="0.25">
      <c r="B5" s="161"/>
    </row>
    <row r="6" spans="1:7" ht="47.25" customHeight="1" thickBot="1" x14ac:dyDescent="0.3">
      <c r="B6" s="418" t="s">
        <v>191</v>
      </c>
      <c r="C6" s="419" t="s">
        <v>192</v>
      </c>
      <c r="D6" s="435" t="s">
        <v>400</v>
      </c>
      <c r="E6" s="420" t="s">
        <v>209</v>
      </c>
      <c r="F6" s="421" t="s">
        <v>390</v>
      </c>
      <c r="G6" s="421" t="s">
        <v>218</v>
      </c>
    </row>
    <row r="7" spans="1:7" ht="14.25" customHeight="1" thickTop="1" x14ac:dyDescent="0.25">
      <c r="B7" s="427" t="s">
        <v>194</v>
      </c>
      <c r="C7" s="427" t="s">
        <v>266</v>
      </c>
      <c r="D7" s="415" t="s">
        <v>195</v>
      </c>
      <c r="E7" s="417"/>
      <c r="F7" s="417"/>
      <c r="G7" s="417">
        <v>2000</v>
      </c>
    </row>
    <row r="8" spans="1:7" ht="14.25" customHeight="1" x14ac:dyDescent="0.25">
      <c r="A8" s="164"/>
      <c r="B8" s="422" t="s">
        <v>0</v>
      </c>
      <c r="C8" s="422" t="s">
        <v>196</v>
      </c>
      <c r="D8" s="157" t="s">
        <v>197</v>
      </c>
      <c r="E8" s="270"/>
      <c r="F8" s="270"/>
      <c r="G8" s="270"/>
    </row>
    <row r="9" spans="1:7" ht="14.25" customHeight="1" x14ac:dyDescent="0.25">
      <c r="A9" s="164"/>
      <c r="B9" s="422" t="s">
        <v>1</v>
      </c>
      <c r="C9" s="422" t="s">
        <v>267</v>
      </c>
      <c r="D9" s="157" t="s">
        <v>295</v>
      </c>
      <c r="E9" s="270"/>
      <c r="F9" s="270">
        <v>0.75</v>
      </c>
      <c r="G9" s="270"/>
    </row>
    <row r="10" spans="1:7" ht="14.25" customHeight="1" x14ac:dyDescent="0.25">
      <c r="A10" s="164"/>
      <c r="B10" s="423" t="s">
        <v>387</v>
      </c>
      <c r="C10" s="423" t="s">
        <v>388</v>
      </c>
      <c r="D10" s="151" t="s">
        <v>258</v>
      </c>
      <c r="E10" s="152">
        <v>30</v>
      </c>
      <c r="F10" s="270"/>
      <c r="G10" s="218">
        <v>2000</v>
      </c>
    </row>
    <row r="11" spans="1:7" ht="14.25" customHeight="1" x14ac:dyDescent="0.25">
      <c r="A11" s="164"/>
      <c r="B11" s="422" t="s">
        <v>2</v>
      </c>
      <c r="C11" s="422" t="s">
        <v>268</v>
      </c>
      <c r="D11" s="157" t="s">
        <v>297</v>
      </c>
      <c r="E11" s="270">
        <v>0.65</v>
      </c>
      <c r="F11" s="270">
        <v>0.25</v>
      </c>
      <c r="G11" s="270">
        <v>10</v>
      </c>
    </row>
    <row r="12" spans="1:7" ht="14.25" customHeight="1" x14ac:dyDescent="0.25">
      <c r="A12" s="164"/>
      <c r="B12" s="423" t="s">
        <v>389</v>
      </c>
      <c r="C12" s="423" t="s">
        <v>198</v>
      </c>
      <c r="D12" s="255" t="s">
        <v>392</v>
      </c>
      <c r="E12" s="407">
        <v>13</v>
      </c>
      <c r="F12" s="407">
        <v>5</v>
      </c>
      <c r="G12" s="154">
        <f>50*10</f>
        <v>500</v>
      </c>
    </row>
    <row r="13" spans="1:7" ht="14.25" customHeight="1" x14ac:dyDescent="0.25">
      <c r="A13" s="164"/>
      <c r="B13" s="422" t="s">
        <v>3</v>
      </c>
      <c r="C13" s="422" t="s">
        <v>270</v>
      </c>
      <c r="D13" s="157" t="s">
        <v>77</v>
      </c>
      <c r="E13" s="270">
        <v>0.4</v>
      </c>
      <c r="F13" s="218">
        <v>0</v>
      </c>
      <c r="G13" s="270">
        <v>24</v>
      </c>
    </row>
    <row r="14" spans="1:7" ht="14.25" customHeight="1" x14ac:dyDescent="0.25">
      <c r="A14" s="164"/>
      <c r="B14" s="423" t="s">
        <v>4</v>
      </c>
      <c r="C14" s="423" t="s">
        <v>301</v>
      </c>
      <c r="D14" s="255" t="s">
        <v>297</v>
      </c>
      <c r="E14" s="408">
        <v>0.35</v>
      </c>
      <c r="F14" s="408">
        <v>0.25</v>
      </c>
      <c r="G14" s="270">
        <v>75</v>
      </c>
    </row>
    <row r="15" spans="1:7" ht="14.25" customHeight="1" x14ac:dyDescent="0.25">
      <c r="A15" s="164"/>
      <c r="B15" s="423" t="s">
        <v>96</v>
      </c>
      <c r="C15" s="423" t="s">
        <v>199</v>
      </c>
      <c r="D15" s="255" t="s">
        <v>392</v>
      </c>
      <c r="E15" s="155">
        <f>E12</f>
        <v>13</v>
      </c>
      <c r="F15" s="155">
        <f>F12</f>
        <v>5</v>
      </c>
      <c r="G15" s="155">
        <f>40*10</f>
        <v>400</v>
      </c>
    </row>
    <row r="16" spans="1:7" ht="14.25" customHeight="1" x14ac:dyDescent="0.25">
      <c r="A16" s="164"/>
      <c r="B16" s="423" t="s">
        <v>6</v>
      </c>
      <c r="C16" s="423" t="s">
        <v>301</v>
      </c>
      <c r="D16" s="157" t="s">
        <v>297</v>
      </c>
      <c r="E16" s="404">
        <f>E14</f>
        <v>0.35</v>
      </c>
      <c r="F16" s="404">
        <f>F14</f>
        <v>0.25</v>
      </c>
      <c r="G16" s="270">
        <v>75</v>
      </c>
    </row>
    <row r="17" spans="1:7" ht="14.25" customHeight="1" x14ac:dyDescent="0.25">
      <c r="A17" s="164"/>
      <c r="B17" s="423" t="s">
        <v>97</v>
      </c>
      <c r="C17" s="423" t="s">
        <v>199</v>
      </c>
      <c r="D17" s="255" t="s">
        <v>392</v>
      </c>
      <c r="E17" s="155">
        <f>E12</f>
        <v>13</v>
      </c>
      <c r="F17" s="155">
        <f>F12</f>
        <v>5</v>
      </c>
      <c r="G17" s="155">
        <f>40*10</f>
        <v>400</v>
      </c>
    </row>
    <row r="18" spans="1:7" ht="14.25" customHeight="1" x14ac:dyDescent="0.25">
      <c r="A18" s="164"/>
      <c r="B18" s="423" t="s">
        <v>98</v>
      </c>
      <c r="C18" s="423" t="s">
        <v>302</v>
      </c>
      <c r="D18" s="157" t="s">
        <v>297</v>
      </c>
      <c r="E18" s="424">
        <v>1.2</v>
      </c>
      <c r="F18" s="424">
        <v>0.8</v>
      </c>
      <c r="G18" s="270">
        <v>15</v>
      </c>
    </row>
    <row r="19" spans="1:7" ht="14.25" customHeight="1" x14ac:dyDescent="0.25">
      <c r="A19" s="164"/>
      <c r="B19" s="423" t="s">
        <v>99</v>
      </c>
      <c r="C19" s="423" t="s">
        <v>200</v>
      </c>
      <c r="D19" s="255" t="s">
        <v>392</v>
      </c>
      <c r="E19" s="155">
        <f>E12</f>
        <v>13</v>
      </c>
      <c r="F19" s="155">
        <f>F12</f>
        <v>5</v>
      </c>
      <c r="G19" s="270">
        <f>10*10</f>
        <v>100</v>
      </c>
    </row>
    <row r="20" spans="1:7" ht="14.25" customHeight="1" x14ac:dyDescent="0.25">
      <c r="A20" s="164"/>
      <c r="B20" s="423" t="s">
        <v>9</v>
      </c>
      <c r="C20" s="423" t="s">
        <v>303</v>
      </c>
      <c r="D20" s="157" t="s">
        <v>297</v>
      </c>
      <c r="E20" s="404">
        <f>E14</f>
        <v>0.35</v>
      </c>
      <c r="F20" s="404">
        <f>F14</f>
        <v>0.25</v>
      </c>
      <c r="G20" s="270">
        <v>60</v>
      </c>
    </row>
    <row r="21" spans="1:7" ht="14.25" customHeight="1" x14ac:dyDescent="0.25">
      <c r="A21" s="164"/>
      <c r="B21" s="423" t="s">
        <v>100</v>
      </c>
      <c r="C21" s="423" t="s">
        <v>199</v>
      </c>
      <c r="D21" s="255" t="s">
        <v>392</v>
      </c>
      <c r="E21" s="155">
        <f>E12</f>
        <v>13</v>
      </c>
      <c r="F21" s="155">
        <f>F12</f>
        <v>5</v>
      </c>
      <c r="G21" s="155">
        <f>40*10</f>
        <v>400</v>
      </c>
    </row>
    <row r="22" spans="1:7" ht="14.25" customHeight="1" x14ac:dyDescent="0.25">
      <c r="A22" s="164"/>
      <c r="B22" s="423" t="s">
        <v>11</v>
      </c>
      <c r="C22" s="423" t="s">
        <v>301</v>
      </c>
      <c r="D22" s="157" t="s">
        <v>297</v>
      </c>
      <c r="E22" s="404">
        <f>E14</f>
        <v>0.35</v>
      </c>
      <c r="F22" s="404">
        <f>F14</f>
        <v>0.25</v>
      </c>
      <c r="G22" s="270">
        <v>75</v>
      </c>
    </row>
    <row r="23" spans="1:7" ht="14.25" customHeight="1" x14ac:dyDescent="0.25">
      <c r="A23" s="164"/>
      <c r="B23" s="157" t="s">
        <v>12</v>
      </c>
      <c r="C23" s="157" t="s">
        <v>286</v>
      </c>
      <c r="D23" s="157" t="s">
        <v>291</v>
      </c>
      <c r="E23" s="218">
        <v>5</v>
      </c>
      <c r="F23" s="270"/>
      <c r="G23" s="270"/>
    </row>
    <row r="24" spans="1:7" ht="14.25" customHeight="1" x14ac:dyDescent="0.25">
      <c r="A24" s="164"/>
      <c r="B24" s="157" t="s">
        <v>13</v>
      </c>
      <c r="C24" s="157" t="s">
        <v>201</v>
      </c>
      <c r="D24" s="157" t="s">
        <v>292</v>
      </c>
      <c r="E24" s="270">
        <v>8.1999999999999993</v>
      </c>
      <c r="F24" s="270"/>
      <c r="G24" s="270"/>
    </row>
    <row r="25" spans="1:7" ht="14.25" customHeight="1" x14ac:dyDescent="0.25">
      <c r="A25" s="164"/>
      <c r="B25" s="157" t="s">
        <v>14</v>
      </c>
      <c r="C25" s="157" t="s">
        <v>201</v>
      </c>
      <c r="D25" s="157" t="s">
        <v>293</v>
      </c>
      <c r="E25" s="218">
        <v>14</v>
      </c>
      <c r="F25" s="270"/>
      <c r="G25" s="270"/>
    </row>
    <row r="26" spans="1:7" ht="14.25" customHeight="1" x14ac:dyDescent="0.25">
      <c r="A26" s="164"/>
      <c r="B26" s="157" t="s">
        <v>15</v>
      </c>
      <c r="C26" s="157" t="s">
        <v>202</v>
      </c>
      <c r="D26" s="157" t="s">
        <v>415</v>
      </c>
      <c r="E26" s="425">
        <v>8</v>
      </c>
      <c r="F26" s="153"/>
      <c r="G26" s="153"/>
    </row>
    <row r="27" spans="1:7" ht="14.25" customHeight="1" x14ac:dyDescent="0.25">
      <c r="A27" s="164"/>
      <c r="B27" s="157" t="s">
        <v>281</v>
      </c>
      <c r="C27" s="157" t="s">
        <v>203</v>
      </c>
      <c r="D27" s="157" t="s">
        <v>415</v>
      </c>
      <c r="E27" s="218">
        <v>6</v>
      </c>
      <c r="F27" s="270"/>
      <c r="G27" s="270"/>
    </row>
    <row r="28" spans="1:7" ht="15.75" customHeight="1" x14ac:dyDescent="0.25">
      <c r="A28" s="164"/>
      <c r="B28" s="157" t="s">
        <v>17</v>
      </c>
      <c r="C28" s="157"/>
      <c r="D28" s="157" t="s">
        <v>287</v>
      </c>
      <c r="E28" s="270">
        <v>0.04</v>
      </c>
      <c r="F28" s="270"/>
      <c r="G28" s="270"/>
    </row>
    <row r="29" spans="1:7" ht="14.25" customHeight="1" x14ac:dyDescent="0.25">
      <c r="A29" s="164"/>
      <c r="B29" s="157" t="s">
        <v>282</v>
      </c>
      <c r="C29" s="157" t="s">
        <v>201</v>
      </c>
      <c r="D29" s="157" t="s">
        <v>299</v>
      </c>
      <c r="E29" s="254">
        <v>0.02</v>
      </c>
      <c r="F29" s="270"/>
      <c r="G29" s="270"/>
    </row>
    <row r="30" spans="1:7" ht="14.25" customHeight="1" x14ac:dyDescent="0.25">
      <c r="A30" s="164"/>
      <c r="B30" s="157" t="s">
        <v>19</v>
      </c>
      <c r="C30" s="157" t="s">
        <v>204</v>
      </c>
      <c r="D30" s="157" t="s">
        <v>205</v>
      </c>
      <c r="E30" s="270" t="s">
        <v>205</v>
      </c>
      <c r="F30" s="270"/>
      <c r="G30" s="270"/>
    </row>
    <row r="31" spans="1:7" ht="14.25" customHeight="1" x14ac:dyDescent="0.25">
      <c r="A31" s="164"/>
      <c r="B31" s="157" t="s">
        <v>20</v>
      </c>
      <c r="C31" s="157" t="s">
        <v>206</v>
      </c>
      <c r="D31" s="157" t="s">
        <v>288</v>
      </c>
      <c r="E31" s="270">
        <v>0.95</v>
      </c>
      <c r="F31" s="270"/>
      <c r="G31" s="270"/>
    </row>
    <row r="32" spans="1:7" ht="14.25" customHeight="1" x14ac:dyDescent="0.25">
      <c r="A32" s="164"/>
      <c r="B32" s="157" t="s">
        <v>21</v>
      </c>
      <c r="C32" s="157" t="s">
        <v>207</v>
      </c>
      <c r="D32" s="157" t="s">
        <v>289</v>
      </c>
      <c r="E32" s="270">
        <v>3</v>
      </c>
      <c r="F32" s="270"/>
      <c r="G32" s="270"/>
    </row>
    <row r="33" spans="1:7" ht="14.25" customHeight="1" x14ac:dyDescent="0.25">
      <c r="A33" s="164"/>
      <c r="B33" s="157" t="s">
        <v>22</v>
      </c>
      <c r="C33" s="157" t="s">
        <v>195</v>
      </c>
      <c r="D33" s="157" t="s">
        <v>195</v>
      </c>
      <c r="E33" s="270" t="s">
        <v>205</v>
      </c>
      <c r="F33" s="270"/>
      <c r="G33" s="270"/>
    </row>
    <row r="34" spans="1:7" ht="14.25" customHeight="1" x14ac:dyDescent="0.25">
      <c r="A34" s="164"/>
      <c r="B34" s="157" t="s">
        <v>23</v>
      </c>
      <c r="C34" s="157" t="s">
        <v>208</v>
      </c>
      <c r="D34" s="157" t="s">
        <v>296</v>
      </c>
      <c r="E34" s="426">
        <f>75/100</f>
        <v>0.75</v>
      </c>
      <c r="F34" s="270"/>
      <c r="G34" s="270"/>
    </row>
    <row r="35" spans="1:7" ht="14.25" customHeight="1" thickBot="1" x14ac:dyDescent="0.3">
      <c r="A35" s="164"/>
      <c r="B35" s="414" t="s">
        <v>24</v>
      </c>
      <c r="C35" s="414" t="s">
        <v>195</v>
      </c>
      <c r="D35" s="414" t="s">
        <v>195</v>
      </c>
      <c r="E35" s="431" t="s">
        <v>205</v>
      </c>
      <c r="F35" s="432"/>
      <c r="G35" s="432"/>
    </row>
    <row r="36" spans="1:7" ht="14.25" customHeight="1" thickTop="1" x14ac:dyDescent="0.25">
      <c r="A36" s="164"/>
      <c r="B36" s="159"/>
      <c r="C36" s="159"/>
      <c r="D36" s="159"/>
      <c r="E36" s="127"/>
      <c r="F36" s="127"/>
      <c r="G36" s="127"/>
    </row>
    <row r="37" spans="1:7" ht="15" customHeight="1" thickBot="1" x14ac:dyDescent="0.3">
      <c r="A37" s="164"/>
      <c r="B37" s="443" t="s">
        <v>401</v>
      </c>
      <c r="C37" s="440"/>
      <c r="D37" s="440"/>
      <c r="E37" s="441"/>
      <c r="F37" s="441"/>
      <c r="G37" s="442"/>
    </row>
    <row r="38" spans="1:7" ht="13.5" customHeight="1" thickTop="1" x14ac:dyDescent="0.25">
      <c r="B38" s="415" t="s">
        <v>114</v>
      </c>
      <c r="C38" s="430"/>
      <c r="D38" s="430"/>
      <c r="E38" s="430"/>
      <c r="F38" s="430"/>
      <c r="G38" s="430"/>
    </row>
    <row r="39" spans="1:7" ht="13.5" customHeight="1" x14ac:dyDescent="0.25">
      <c r="B39" s="157" t="s">
        <v>115</v>
      </c>
      <c r="C39" s="428"/>
      <c r="D39" s="428"/>
      <c r="E39" s="428"/>
      <c r="F39" s="428"/>
      <c r="G39" s="428"/>
    </row>
    <row r="40" spans="1:7" ht="13.5" customHeight="1" x14ac:dyDescent="0.25">
      <c r="B40" s="157" t="s">
        <v>71</v>
      </c>
      <c r="C40" s="428"/>
      <c r="D40" s="428"/>
      <c r="E40" s="428"/>
      <c r="F40" s="428"/>
      <c r="G40" s="428"/>
    </row>
    <row r="41" spans="1:7" ht="13.5" customHeight="1" x14ac:dyDescent="0.25">
      <c r="B41" s="157" t="s">
        <v>116</v>
      </c>
      <c r="C41" s="428"/>
      <c r="D41" s="428"/>
      <c r="E41" s="428"/>
      <c r="F41" s="428"/>
      <c r="G41" s="428"/>
    </row>
    <row r="42" spans="1:7" ht="13.5" customHeight="1" x14ac:dyDescent="0.25">
      <c r="B42" s="157" t="s">
        <v>117</v>
      </c>
      <c r="C42" s="428"/>
      <c r="D42" s="428"/>
      <c r="E42" s="428"/>
      <c r="F42" s="428"/>
      <c r="G42" s="428"/>
    </row>
    <row r="43" spans="1:7" ht="13.5" customHeight="1" x14ac:dyDescent="0.25">
      <c r="B43" s="157" t="s">
        <v>78</v>
      </c>
      <c r="C43" s="428"/>
      <c r="D43" s="428"/>
      <c r="E43" s="428"/>
      <c r="F43" s="428"/>
      <c r="G43" s="428"/>
    </row>
    <row r="44" spans="1:7" ht="13.5" customHeight="1" x14ac:dyDescent="0.25">
      <c r="B44" s="157" t="s">
        <v>72</v>
      </c>
      <c r="C44" s="428"/>
      <c r="D44" s="428"/>
      <c r="E44" s="428"/>
      <c r="F44" s="428"/>
      <c r="G44" s="428"/>
    </row>
    <row r="45" spans="1:7" ht="13.5" customHeight="1" thickBot="1" x14ac:dyDescent="0.3">
      <c r="B45" s="414" t="s">
        <v>92</v>
      </c>
      <c r="C45" s="429"/>
      <c r="D45" s="429"/>
      <c r="E45" s="429"/>
      <c r="F45" s="429"/>
      <c r="G45" s="429"/>
    </row>
    <row r="46" spans="1:7" ht="13.5" customHeight="1" thickTop="1" x14ac:dyDescent="0.25"/>
    <row r="47" spans="1:7" ht="13.5" customHeight="1" x14ac:dyDescent="0.25"/>
    <row r="48" spans="1:7" ht="24" customHeight="1" x14ac:dyDescent="0.25">
      <c r="B48" s="523" t="s">
        <v>391</v>
      </c>
      <c r="C48" s="523"/>
      <c r="D48" s="523"/>
    </row>
    <row r="49" spans="2:6" ht="21" customHeight="1" x14ac:dyDescent="0.25">
      <c r="B49" s="131" t="s">
        <v>219</v>
      </c>
      <c r="F49" s="285"/>
    </row>
    <row r="50" spans="2:6" ht="14.25" customHeight="1" x14ac:dyDescent="0.25">
      <c r="B50" s="269" t="s">
        <v>217</v>
      </c>
      <c r="C50" s="165">
        <v>7.0000000000000007E-2</v>
      </c>
      <c r="D50" s="166" t="s">
        <v>255</v>
      </c>
    </row>
    <row r="51" spans="2:6" ht="15" customHeight="1" x14ac:dyDescent="0.25"/>
    <row r="52" spans="2:6" ht="15" customHeight="1" x14ac:dyDescent="0.25">
      <c r="B52" s="269" t="s">
        <v>211</v>
      </c>
      <c r="C52" s="270" t="s">
        <v>212</v>
      </c>
      <c r="D52" s="165" t="s">
        <v>149</v>
      </c>
    </row>
    <row r="53" spans="2:6" ht="15" customHeight="1" x14ac:dyDescent="0.25">
      <c r="B53" s="486" t="s">
        <v>431</v>
      </c>
      <c r="C53" s="127">
        <v>0.25</v>
      </c>
      <c r="D53" s="129" t="s">
        <v>157</v>
      </c>
    </row>
    <row r="54" spans="2:6" ht="15" customHeight="1" x14ac:dyDescent="0.25">
      <c r="B54" s="486" t="s">
        <v>432</v>
      </c>
      <c r="C54" s="127">
        <v>1.25</v>
      </c>
      <c r="D54" s="129" t="s">
        <v>441</v>
      </c>
    </row>
    <row r="55" spans="2:6" ht="15" customHeight="1" x14ac:dyDescent="0.25">
      <c r="B55" s="486" t="s">
        <v>433</v>
      </c>
      <c r="C55" s="127">
        <v>0.76</v>
      </c>
      <c r="D55" s="129" t="s">
        <v>157</v>
      </c>
    </row>
    <row r="56" spans="2:6" ht="14.25" customHeight="1" x14ac:dyDescent="0.25">
      <c r="B56" s="129" t="s">
        <v>151</v>
      </c>
      <c r="C56" s="167">
        <v>0.61</v>
      </c>
      <c r="D56" s="168" t="s">
        <v>152</v>
      </c>
    </row>
    <row r="57" spans="2:6" ht="14.25" customHeight="1" x14ac:dyDescent="0.25">
      <c r="B57" s="129" t="str">
        <f>"Batt Insulation R"&amp;C57</f>
        <v>Batt Insulation R30</v>
      </c>
      <c r="C57" s="220">
        <f>E10</f>
        <v>30</v>
      </c>
      <c r="D57" s="129"/>
    </row>
    <row r="58" spans="2:6" ht="14.25" customHeight="1" x14ac:dyDescent="0.25">
      <c r="B58" s="129" t="s">
        <v>153</v>
      </c>
      <c r="C58" s="167">
        <v>4.38</v>
      </c>
      <c r="D58" s="129" t="s">
        <v>154</v>
      </c>
    </row>
    <row r="59" spans="2:6" ht="14.25" customHeight="1" x14ac:dyDescent="0.25">
      <c r="B59" s="129" t="s">
        <v>215</v>
      </c>
      <c r="C59" s="167">
        <v>0.45</v>
      </c>
      <c r="D59" s="129" t="s">
        <v>155</v>
      </c>
    </row>
    <row r="60" spans="2:6" ht="14.25" customHeight="1" x14ac:dyDescent="0.25">
      <c r="B60" s="130" t="s">
        <v>156</v>
      </c>
      <c r="C60" s="169">
        <v>0.92</v>
      </c>
      <c r="D60" s="130" t="s">
        <v>157</v>
      </c>
    </row>
    <row r="63" spans="2:6" x14ac:dyDescent="0.25">
      <c r="B63" s="160" t="s">
        <v>241</v>
      </c>
    </row>
    <row r="64" spans="2:6" ht="39" customHeight="1" x14ac:dyDescent="0.25">
      <c r="B64" s="526" t="s">
        <v>410</v>
      </c>
      <c r="C64" s="526"/>
      <c r="D64" s="526"/>
      <c r="E64" s="178"/>
    </row>
    <row r="65" spans="1:7" ht="16.5" customHeight="1" x14ac:dyDescent="0.25">
      <c r="A65" s="178"/>
      <c r="B65" s="269" t="s">
        <v>222</v>
      </c>
      <c r="C65" s="267">
        <f>0.25</f>
        <v>0.25</v>
      </c>
      <c r="D65" s="270"/>
      <c r="E65" s="178"/>
    </row>
    <row r="66" spans="1:7" ht="13.5" customHeight="1" x14ac:dyDescent="0.25">
      <c r="A66" s="170"/>
      <c r="E66" s="127"/>
    </row>
    <row r="67" spans="1:7" ht="16.5" customHeight="1" x14ac:dyDescent="0.25">
      <c r="B67" s="131" t="s">
        <v>220</v>
      </c>
      <c r="E67" s="179"/>
    </row>
    <row r="68" spans="1:7" ht="16.5" customHeight="1" x14ac:dyDescent="0.25">
      <c r="B68" s="269" t="s">
        <v>211</v>
      </c>
      <c r="C68" s="270" t="s">
        <v>212</v>
      </c>
      <c r="D68" s="165" t="s">
        <v>149</v>
      </c>
      <c r="E68" s="179"/>
    </row>
    <row r="69" spans="1:7" ht="15.75" customHeight="1" x14ac:dyDescent="0.25">
      <c r="A69" s="167"/>
      <c r="B69" s="128" t="s">
        <v>162</v>
      </c>
      <c r="C69" s="180">
        <v>0.25</v>
      </c>
      <c r="D69" s="172" t="s">
        <v>157</v>
      </c>
      <c r="E69" s="181"/>
    </row>
    <row r="70" spans="1:7" ht="15.75" customHeight="1" x14ac:dyDescent="0.25">
      <c r="A70" s="167"/>
      <c r="B70" s="129" t="s">
        <v>221</v>
      </c>
      <c r="C70" s="173">
        <f>0.8/9.7</f>
        <v>8.2474226804123724E-2</v>
      </c>
      <c r="D70" s="182" t="s">
        <v>163</v>
      </c>
      <c r="E70" s="181"/>
    </row>
    <row r="71" spans="1:7" ht="15.75" customHeight="1" x14ac:dyDescent="0.25">
      <c r="A71" s="167"/>
      <c r="B71" s="129" t="str">
        <f>"Continuous Rigid Insulation R"&amp;C71</f>
        <v>Continuous Rigid Insulation R5</v>
      </c>
      <c r="C71" s="219">
        <f>F12</f>
        <v>5</v>
      </c>
      <c r="D71" s="185"/>
      <c r="E71" s="181"/>
    </row>
    <row r="72" spans="1:7" ht="15.75" customHeight="1" x14ac:dyDescent="0.25">
      <c r="A72" s="167"/>
      <c r="B72" s="129" t="s">
        <v>408</v>
      </c>
      <c r="C72" s="195">
        <v>0.15</v>
      </c>
      <c r="D72" s="445" t="s">
        <v>409</v>
      </c>
      <c r="E72" s="320"/>
      <c r="F72" s="320"/>
      <c r="G72" s="178"/>
    </row>
    <row r="73" spans="1:7" ht="15.75" customHeight="1" x14ac:dyDescent="0.25">
      <c r="A73" s="167"/>
      <c r="B73" s="129" t="s">
        <v>275</v>
      </c>
      <c r="C73" s="181">
        <v>0.79</v>
      </c>
      <c r="D73" s="183" t="s">
        <v>155</v>
      </c>
      <c r="E73" s="184"/>
    </row>
    <row r="74" spans="1:7" ht="15.75" customHeight="1" x14ac:dyDescent="0.25">
      <c r="A74" s="167"/>
      <c r="B74" s="129" t="s">
        <v>153</v>
      </c>
      <c r="C74" s="181">
        <v>4.38</v>
      </c>
      <c r="D74" s="183" t="s">
        <v>154</v>
      </c>
      <c r="E74" s="167"/>
    </row>
    <row r="75" spans="1:7" ht="15.75" customHeight="1" x14ac:dyDescent="0.25">
      <c r="A75" s="167"/>
      <c r="B75" s="129" t="str">
        <f>"Fiber Glass Batt Insulation"&amp;" R"&amp;C75</f>
        <v>Fiber Glass Batt Insulation R13</v>
      </c>
      <c r="C75" s="219">
        <f>E12</f>
        <v>13</v>
      </c>
      <c r="D75" s="185"/>
      <c r="E75" s="167"/>
    </row>
    <row r="76" spans="1:7" ht="15.75" customHeight="1" x14ac:dyDescent="0.25">
      <c r="A76" s="167"/>
      <c r="B76" s="129" t="s">
        <v>215</v>
      </c>
      <c r="C76" s="167">
        <v>0.45</v>
      </c>
      <c r="D76" s="168" t="s">
        <v>155</v>
      </c>
    </row>
    <row r="77" spans="1:7" ht="15.75" customHeight="1" x14ac:dyDescent="0.25">
      <c r="A77" s="167"/>
      <c r="B77" s="130" t="s">
        <v>167</v>
      </c>
      <c r="C77" s="169">
        <v>0.68</v>
      </c>
      <c r="D77" s="186" t="s">
        <v>157</v>
      </c>
    </row>
    <row r="78" spans="1:7" ht="14.25" customHeight="1" x14ac:dyDescent="0.25"/>
    <row r="79" spans="1:7" ht="14.25" customHeight="1" x14ac:dyDescent="0.25"/>
    <row r="80" spans="1:7" x14ac:dyDescent="0.25">
      <c r="B80" s="200"/>
    </row>
    <row r="81" spans="1:5" ht="15" customHeight="1" x14ac:dyDescent="0.25">
      <c r="B81" s="200" t="s">
        <v>189</v>
      </c>
    </row>
    <row r="82" spans="1:5" ht="34.5" customHeight="1" x14ac:dyDescent="0.25">
      <c r="B82" s="522" t="s">
        <v>190</v>
      </c>
      <c r="C82" s="522"/>
      <c r="D82" s="522"/>
    </row>
    <row r="85" spans="1:5" ht="15.75" customHeight="1" x14ac:dyDescent="0.25">
      <c r="A85" s="167"/>
      <c r="E85" s="167"/>
    </row>
    <row r="86" spans="1:5" x14ac:dyDescent="0.25">
      <c r="C86" s="200"/>
    </row>
    <row r="87" spans="1:5" x14ac:dyDescent="0.25">
      <c r="A87" s="164"/>
    </row>
    <row r="88" spans="1:5" x14ac:dyDescent="0.25">
      <c r="A88" s="164"/>
    </row>
    <row r="89" spans="1:5" x14ac:dyDescent="0.25">
      <c r="A89" s="164"/>
    </row>
    <row r="90" spans="1:5" x14ac:dyDescent="0.25">
      <c r="A90" s="164"/>
    </row>
  </sheetData>
  <sheetProtection password="BDDF" sheet="1" objects="1" scenarios="1"/>
  <mergeCells count="3">
    <mergeCell ref="B48:D48"/>
    <mergeCell ref="B64:D64"/>
    <mergeCell ref="B82:D82"/>
  </mergeCells>
  <pageMargins left="0.7" right="0.7" top="0.75" bottom="0.75" header="0.3" footer="0.3"/>
  <pageSetup scale="55" orientation="portrait" r:id="rId1"/>
  <rowBreaks count="1" manualBreakCount="1">
    <brk id="36" max="16383" man="1"/>
  </rowBreaks>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G121"/>
  <sheetViews>
    <sheetView topLeftCell="A4" zoomScale="85" zoomScaleNormal="85" workbookViewId="0">
      <selection activeCell="C53" sqref="C53"/>
    </sheetView>
  </sheetViews>
  <sheetFormatPr defaultColWidth="9.1796875" defaultRowHeight="12.5" x14ac:dyDescent="0.25"/>
  <cols>
    <col min="1" max="1" width="6.1796875" style="160" customWidth="1"/>
    <col min="2" max="2" width="51" style="160" customWidth="1"/>
    <col min="3" max="3" width="25" style="160" customWidth="1"/>
    <col min="4" max="4" width="35" style="160" customWidth="1"/>
    <col min="5" max="5" width="13.7265625" style="160" customWidth="1"/>
    <col min="6" max="6" width="14.7265625" style="160" customWidth="1"/>
    <col min="7" max="7" width="11.81640625" style="160" customWidth="1"/>
    <col min="8" max="16384" width="9.1796875" style="160"/>
  </cols>
  <sheetData>
    <row r="2" spans="1:7" ht="13" x14ac:dyDescent="0.25">
      <c r="B2" s="161" t="s">
        <v>277</v>
      </c>
    </row>
    <row r="3" spans="1:7" ht="13" x14ac:dyDescent="0.25">
      <c r="B3" s="161" t="s">
        <v>280</v>
      </c>
      <c r="C3" s="161"/>
    </row>
    <row r="4" spans="1:7" ht="14.5" x14ac:dyDescent="0.35">
      <c r="B4" s="4" t="s">
        <v>101</v>
      </c>
    </row>
    <row r="5" spans="1:7" ht="15" customHeight="1" x14ac:dyDescent="0.25">
      <c r="B5" s="161"/>
    </row>
    <row r="6" spans="1:7" ht="47.25" customHeight="1" thickBot="1" x14ac:dyDescent="0.3">
      <c r="B6" s="418" t="s">
        <v>191</v>
      </c>
      <c r="C6" s="419" t="s">
        <v>192</v>
      </c>
      <c r="D6" s="435" t="s">
        <v>400</v>
      </c>
      <c r="E6" s="420" t="s">
        <v>209</v>
      </c>
      <c r="F6" s="421" t="s">
        <v>210</v>
      </c>
      <c r="G6" s="421" t="s">
        <v>218</v>
      </c>
    </row>
    <row r="7" spans="1:7" ht="14.25" customHeight="1" thickTop="1" x14ac:dyDescent="0.25">
      <c r="B7" s="415" t="s">
        <v>194</v>
      </c>
      <c r="C7" s="415" t="s">
        <v>244</v>
      </c>
      <c r="D7" s="415" t="s">
        <v>195</v>
      </c>
      <c r="E7" s="416"/>
      <c r="F7" s="417"/>
      <c r="G7" s="417">
        <v>2000</v>
      </c>
    </row>
    <row r="8" spans="1:7" ht="14.25" customHeight="1" x14ac:dyDescent="0.25">
      <c r="A8" s="164"/>
      <c r="B8" s="157" t="s">
        <v>0</v>
      </c>
      <c r="C8" s="157" t="s">
        <v>196</v>
      </c>
      <c r="D8" s="157" t="s">
        <v>197</v>
      </c>
      <c r="E8" s="97"/>
      <c r="F8" s="158"/>
      <c r="G8" s="158"/>
    </row>
    <row r="9" spans="1:7" ht="14.25" customHeight="1" x14ac:dyDescent="0.25">
      <c r="A9" s="164"/>
      <c r="B9" s="157" t="s">
        <v>1</v>
      </c>
      <c r="C9" s="157" t="s">
        <v>245</v>
      </c>
      <c r="D9" s="157" t="s">
        <v>295</v>
      </c>
      <c r="E9" s="97"/>
      <c r="F9" s="158">
        <v>0.75</v>
      </c>
      <c r="G9" s="158"/>
    </row>
    <row r="10" spans="1:7" ht="14.25" customHeight="1" x14ac:dyDescent="0.25">
      <c r="A10" s="164"/>
      <c r="B10" s="157" t="s">
        <v>246</v>
      </c>
      <c r="C10" s="157" t="s">
        <v>244</v>
      </c>
      <c r="D10" s="157" t="s">
        <v>258</v>
      </c>
      <c r="E10" s="245">
        <v>38</v>
      </c>
      <c r="F10" s="158"/>
      <c r="G10" s="218">
        <v>2000</v>
      </c>
    </row>
    <row r="11" spans="1:7" ht="14.25" customHeight="1" x14ac:dyDescent="0.25">
      <c r="A11" s="164"/>
      <c r="B11" s="157" t="s">
        <v>2</v>
      </c>
      <c r="C11" s="157" t="s">
        <v>247</v>
      </c>
      <c r="D11" s="157" t="s">
        <v>297</v>
      </c>
      <c r="E11" s="97">
        <v>0.75</v>
      </c>
      <c r="F11" s="158">
        <v>0.25</v>
      </c>
      <c r="G11" s="158">
        <v>10</v>
      </c>
    </row>
    <row r="12" spans="1:7" ht="14.25" customHeight="1" x14ac:dyDescent="0.25">
      <c r="A12" s="164"/>
      <c r="B12" s="157" t="s">
        <v>278</v>
      </c>
      <c r="C12" s="157" t="s">
        <v>198</v>
      </c>
      <c r="D12" s="157" t="s">
        <v>290</v>
      </c>
      <c r="E12" s="251">
        <v>4</v>
      </c>
      <c r="F12" s="153"/>
      <c r="G12" s="154">
        <f>50*10</f>
        <v>500</v>
      </c>
    </row>
    <row r="13" spans="1:7" ht="14.25" customHeight="1" x14ac:dyDescent="0.25">
      <c r="A13" s="164"/>
      <c r="B13" s="157" t="s">
        <v>3</v>
      </c>
      <c r="C13" s="157" t="s">
        <v>248</v>
      </c>
      <c r="D13" s="157" t="s">
        <v>77</v>
      </c>
      <c r="E13" s="97">
        <v>0.65</v>
      </c>
      <c r="F13" s="218">
        <v>0</v>
      </c>
      <c r="G13" s="158">
        <v>24</v>
      </c>
    </row>
    <row r="14" spans="1:7" ht="14.25" customHeight="1" x14ac:dyDescent="0.25">
      <c r="A14" s="164"/>
      <c r="B14" s="157" t="s">
        <v>4</v>
      </c>
      <c r="C14" s="157" t="s">
        <v>249</v>
      </c>
      <c r="D14" s="157" t="s">
        <v>297</v>
      </c>
      <c r="E14" s="97">
        <v>0.65</v>
      </c>
      <c r="F14" s="158">
        <v>0.25</v>
      </c>
      <c r="G14" s="158">
        <v>75</v>
      </c>
    </row>
    <row r="15" spans="1:7" ht="14.25" customHeight="1" x14ac:dyDescent="0.25">
      <c r="A15" s="164"/>
      <c r="B15" s="157" t="s">
        <v>5</v>
      </c>
      <c r="C15" s="157" t="s">
        <v>199</v>
      </c>
      <c r="D15" s="157" t="s">
        <v>269</v>
      </c>
      <c r="E15" s="243">
        <f>E12</f>
        <v>4</v>
      </c>
      <c r="F15" s="153"/>
      <c r="G15" s="155">
        <f>40*10</f>
        <v>400</v>
      </c>
    </row>
    <row r="16" spans="1:7" ht="14.25" customHeight="1" x14ac:dyDescent="0.25">
      <c r="A16" s="164"/>
      <c r="B16" s="157" t="s">
        <v>6</v>
      </c>
      <c r="C16" s="157" t="s">
        <v>249</v>
      </c>
      <c r="D16" s="157" t="s">
        <v>297</v>
      </c>
      <c r="E16" s="97">
        <v>0.65</v>
      </c>
      <c r="F16" s="156">
        <v>0.25</v>
      </c>
      <c r="G16" s="158">
        <v>75</v>
      </c>
    </row>
    <row r="17" spans="1:7" ht="14.25" customHeight="1" x14ac:dyDescent="0.25">
      <c r="A17" s="164"/>
      <c r="B17" s="157" t="s">
        <v>7</v>
      </c>
      <c r="C17" s="157" t="s">
        <v>199</v>
      </c>
      <c r="D17" s="157" t="s">
        <v>290</v>
      </c>
      <c r="E17" s="243">
        <f>E12</f>
        <v>4</v>
      </c>
      <c r="F17" s="153"/>
      <c r="G17" s="155">
        <f>40*10</f>
        <v>400</v>
      </c>
    </row>
    <row r="18" spans="1:7" ht="14.25" customHeight="1" x14ac:dyDescent="0.25">
      <c r="A18" s="164"/>
      <c r="B18" s="157" t="s">
        <v>8</v>
      </c>
      <c r="C18" s="157" t="s">
        <v>250</v>
      </c>
      <c r="D18" s="157" t="s">
        <v>297</v>
      </c>
      <c r="E18" s="97">
        <v>0.65</v>
      </c>
      <c r="F18" s="156">
        <v>0.25</v>
      </c>
      <c r="G18" s="158">
        <v>15</v>
      </c>
    </row>
    <row r="19" spans="1:7" ht="14.25" customHeight="1" x14ac:dyDescent="0.25">
      <c r="A19" s="164"/>
      <c r="B19" s="157" t="s">
        <v>279</v>
      </c>
      <c r="C19" s="157" t="s">
        <v>200</v>
      </c>
      <c r="D19" s="157" t="s">
        <v>294</v>
      </c>
      <c r="E19" s="242">
        <v>13</v>
      </c>
      <c r="F19" s="158"/>
      <c r="G19" s="158">
        <f>10*10</f>
        <v>100</v>
      </c>
    </row>
    <row r="20" spans="1:7" ht="14.25" customHeight="1" x14ac:dyDescent="0.25">
      <c r="A20" s="164"/>
      <c r="B20" s="157" t="s">
        <v>9</v>
      </c>
      <c r="C20" s="157" t="s">
        <v>251</v>
      </c>
      <c r="D20" s="157" t="s">
        <v>297</v>
      </c>
      <c r="E20" s="97">
        <v>0.65</v>
      </c>
      <c r="F20" s="156">
        <v>0.25</v>
      </c>
      <c r="G20" s="158">
        <v>60</v>
      </c>
    </row>
    <row r="21" spans="1:7" ht="14.25" customHeight="1" x14ac:dyDescent="0.25">
      <c r="A21" s="164"/>
      <c r="B21" s="157" t="s">
        <v>10</v>
      </c>
      <c r="C21" s="157" t="s">
        <v>199</v>
      </c>
      <c r="D21" s="157" t="s">
        <v>290</v>
      </c>
      <c r="E21" s="243">
        <f>E12</f>
        <v>4</v>
      </c>
      <c r="F21" s="153"/>
      <c r="G21" s="155">
        <f>40*10</f>
        <v>400</v>
      </c>
    </row>
    <row r="22" spans="1:7" ht="14.25" customHeight="1" x14ac:dyDescent="0.25">
      <c r="A22" s="164"/>
      <c r="B22" s="157" t="s">
        <v>11</v>
      </c>
      <c r="C22" s="157" t="s">
        <v>249</v>
      </c>
      <c r="D22" s="157" t="s">
        <v>297</v>
      </c>
      <c r="E22" s="97">
        <v>0.65</v>
      </c>
      <c r="F22" s="156">
        <v>0.25</v>
      </c>
      <c r="G22" s="158">
        <v>75</v>
      </c>
    </row>
    <row r="23" spans="1:7" ht="14.25" customHeight="1" x14ac:dyDescent="0.25">
      <c r="A23" s="164"/>
      <c r="B23" s="157" t="s">
        <v>12</v>
      </c>
      <c r="C23" s="157" t="s">
        <v>286</v>
      </c>
      <c r="D23" s="157" t="s">
        <v>291</v>
      </c>
      <c r="E23" s="242">
        <v>5</v>
      </c>
      <c r="F23" s="158"/>
      <c r="G23" s="158"/>
    </row>
    <row r="24" spans="1:7" ht="14.25" customHeight="1" x14ac:dyDescent="0.25">
      <c r="A24" s="164"/>
      <c r="B24" s="157" t="s">
        <v>13</v>
      </c>
      <c r="C24" s="157" t="s">
        <v>201</v>
      </c>
      <c r="D24" s="157" t="s">
        <v>292</v>
      </c>
      <c r="E24" s="97">
        <v>8.1999999999999993</v>
      </c>
      <c r="F24" s="158"/>
      <c r="G24" s="158"/>
    </row>
    <row r="25" spans="1:7" ht="14.25" customHeight="1" x14ac:dyDescent="0.25">
      <c r="A25" s="164"/>
      <c r="B25" s="157" t="s">
        <v>14</v>
      </c>
      <c r="C25" s="157" t="s">
        <v>201</v>
      </c>
      <c r="D25" s="157" t="s">
        <v>293</v>
      </c>
      <c r="E25" s="242">
        <v>14</v>
      </c>
      <c r="F25" s="158"/>
      <c r="G25" s="158"/>
    </row>
    <row r="26" spans="1:7" ht="14.25" customHeight="1" x14ac:dyDescent="0.25">
      <c r="A26" s="164"/>
      <c r="B26" s="157" t="s">
        <v>15</v>
      </c>
      <c r="C26" s="157" t="s">
        <v>202</v>
      </c>
      <c r="D26" s="157" t="s">
        <v>415</v>
      </c>
      <c r="E26" s="251">
        <v>8</v>
      </c>
      <c r="F26" s="153"/>
      <c r="G26" s="153"/>
    </row>
    <row r="27" spans="1:7" ht="14.25" customHeight="1" x14ac:dyDescent="0.25">
      <c r="A27" s="164"/>
      <c r="B27" s="157" t="s">
        <v>281</v>
      </c>
      <c r="C27" s="157" t="s">
        <v>203</v>
      </c>
      <c r="D27" s="157" t="s">
        <v>415</v>
      </c>
      <c r="E27" s="242">
        <v>6</v>
      </c>
      <c r="F27" s="158"/>
      <c r="G27" s="158"/>
    </row>
    <row r="28" spans="1:7" ht="15.75" customHeight="1" x14ac:dyDescent="0.25">
      <c r="A28" s="164"/>
      <c r="B28" s="157" t="s">
        <v>17</v>
      </c>
      <c r="C28" s="157"/>
      <c r="D28" s="157" t="s">
        <v>287</v>
      </c>
      <c r="E28" s="97">
        <v>0.04</v>
      </c>
      <c r="F28" s="158"/>
      <c r="G28" s="158"/>
    </row>
    <row r="29" spans="1:7" ht="14.25" customHeight="1" x14ac:dyDescent="0.25">
      <c r="A29" s="164"/>
      <c r="B29" s="157" t="s">
        <v>282</v>
      </c>
      <c r="C29" s="157" t="s">
        <v>201</v>
      </c>
      <c r="D29" s="157" t="s">
        <v>299</v>
      </c>
      <c r="E29" s="253">
        <v>0.02</v>
      </c>
      <c r="F29" s="158"/>
      <c r="G29" s="158"/>
    </row>
    <row r="30" spans="1:7" ht="14.25" customHeight="1" x14ac:dyDescent="0.25">
      <c r="A30" s="164"/>
      <c r="B30" s="157" t="s">
        <v>19</v>
      </c>
      <c r="C30" s="157" t="s">
        <v>204</v>
      </c>
      <c r="D30" s="157" t="s">
        <v>205</v>
      </c>
      <c r="E30" s="97" t="s">
        <v>205</v>
      </c>
      <c r="F30" s="158"/>
      <c r="G30" s="158"/>
    </row>
    <row r="31" spans="1:7" ht="14.25" customHeight="1" x14ac:dyDescent="0.25">
      <c r="A31" s="164"/>
      <c r="B31" s="157" t="s">
        <v>20</v>
      </c>
      <c r="C31" s="157" t="s">
        <v>206</v>
      </c>
      <c r="D31" s="157" t="s">
        <v>288</v>
      </c>
      <c r="E31" s="97">
        <v>0.95</v>
      </c>
      <c r="F31" s="158"/>
      <c r="G31" s="158"/>
    </row>
    <row r="32" spans="1:7" ht="14.25" customHeight="1" x14ac:dyDescent="0.25">
      <c r="A32" s="164"/>
      <c r="B32" s="157" t="s">
        <v>21</v>
      </c>
      <c r="C32" s="157" t="s">
        <v>207</v>
      </c>
      <c r="D32" s="157" t="s">
        <v>289</v>
      </c>
      <c r="E32" s="97">
        <v>3</v>
      </c>
      <c r="F32" s="158"/>
      <c r="G32" s="158"/>
    </row>
    <row r="33" spans="1:7" ht="14.25" customHeight="1" x14ac:dyDescent="0.25">
      <c r="A33" s="164"/>
      <c r="B33" s="157" t="s">
        <v>22</v>
      </c>
      <c r="C33" s="157" t="s">
        <v>195</v>
      </c>
      <c r="D33" s="157" t="s">
        <v>195</v>
      </c>
      <c r="E33" s="97" t="s">
        <v>205</v>
      </c>
      <c r="F33" s="158"/>
      <c r="G33" s="158"/>
    </row>
    <row r="34" spans="1:7" ht="14.25" customHeight="1" x14ac:dyDescent="0.25">
      <c r="A34" s="164"/>
      <c r="B34" s="157" t="s">
        <v>23</v>
      </c>
      <c r="C34" s="157" t="s">
        <v>208</v>
      </c>
      <c r="D34" s="157" t="s">
        <v>296</v>
      </c>
      <c r="E34" s="252">
        <f>75/100</f>
        <v>0.75</v>
      </c>
      <c r="F34" s="158"/>
      <c r="G34" s="158"/>
    </row>
    <row r="35" spans="1:7" ht="14.25" customHeight="1" thickBot="1" x14ac:dyDescent="0.3">
      <c r="A35" s="164"/>
      <c r="B35" s="414" t="s">
        <v>24</v>
      </c>
      <c r="C35" s="414" t="s">
        <v>195</v>
      </c>
      <c r="D35" s="414" t="s">
        <v>195</v>
      </c>
      <c r="E35" s="432" t="s">
        <v>205</v>
      </c>
      <c r="F35" s="432"/>
      <c r="G35" s="432"/>
    </row>
    <row r="36" spans="1:7" ht="14.25" customHeight="1" thickTop="1" x14ac:dyDescent="0.25">
      <c r="A36" s="164"/>
      <c r="B36" s="159"/>
      <c r="C36" s="159"/>
      <c r="D36" s="159"/>
      <c r="E36" s="127"/>
      <c r="F36" s="127"/>
      <c r="G36" s="127"/>
    </row>
    <row r="37" spans="1:7" ht="14.25" customHeight="1" thickBot="1" x14ac:dyDescent="0.3">
      <c r="A37" s="164" t="s">
        <v>241</v>
      </c>
      <c r="B37" s="443" t="s">
        <v>401</v>
      </c>
      <c r="C37" s="440"/>
      <c r="D37" s="440"/>
      <c r="E37" s="441"/>
      <c r="F37" s="441"/>
      <c r="G37" s="442"/>
    </row>
    <row r="38" spans="1:7" ht="13.5" customHeight="1" thickTop="1" x14ac:dyDescent="0.25">
      <c r="B38" s="415" t="s">
        <v>114</v>
      </c>
      <c r="C38" s="430"/>
      <c r="D38" s="430"/>
      <c r="E38" s="430"/>
      <c r="F38" s="430"/>
      <c r="G38" s="430"/>
    </row>
    <row r="39" spans="1:7" ht="13.5" customHeight="1" x14ac:dyDescent="0.25">
      <c r="B39" s="157" t="s">
        <v>115</v>
      </c>
      <c r="C39" s="428"/>
      <c r="D39" s="428"/>
      <c r="E39" s="428"/>
      <c r="F39" s="428"/>
      <c r="G39" s="428"/>
    </row>
    <row r="40" spans="1:7" ht="13.5" customHeight="1" x14ac:dyDescent="0.25">
      <c r="B40" s="157" t="s">
        <v>71</v>
      </c>
      <c r="C40" s="428"/>
      <c r="D40" s="428"/>
      <c r="E40" s="428"/>
      <c r="F40" s="428"/>
      <c r="G40" s="428"/>
    </row>
    <row r="41" spans="1:7" ht="13.5" customHeight="1" x14ac:dyDescent="0.25">
      <c r="B41" s="157" t="s">
        <v>116</v>
      </c>
      <c r="C41" s="428"/>
      <c r="D41" s="428"/>
      <c r="E41" s="428"/>
      <c r="F41" s="428"/>
      <c r="G41" s="428"/>
    </row>
    <row r="42" spans="1:7" ht="13.5" customHeight="1" x14ac:dyDescent="0.25">
      <c r="B42" s="157" t="s">
        <v>117</v>
      </c>
      <c r="C42" s="428"/>
      <c r="D42" s="428"/>
      <c r="E42" s="428"/>
      <c r="F42" s="428"/>
      <c r="G42" s="428"/>
    </row>
    <row r="43" spans="1:7" ht="13.5" customHeight="1" x14ac:dyDescent="0.25">
      <c r="B43" s="157" t="s">
        <v>78</v>
      </c>
      <c r="C43" s="428"/>
      <c r="D43" s="428"/>
      <c r="E43" s="428"/>
      <c r="F43" s="428"/>
      <c r="G43" s="428"/>
    </row>
    <row r="44" spans="1:7" ht="13.5" customHeight="1" x14ac:dyDescent="0.25">
      <c r="B44" s="157" t="s">
        <v>72</v>
      </c>
      <c r="C44" s="428"/>
      <c r="D44" s="428"/>
      <c r="E44" s="428"/>
      <c r="F44" s="428"/>
      <c r="G44" s="428"/>
    </row>
    <row r="45" spans="1:7" ht="13.5" customHeight="1" thickBot="1" x14ac:dyDescent="0.3">
      <c r="B45" s="414" t="s">
        <v>92</v>
      </c>
      <c r="C45" s="429"/>
      <c r="D45" s="429"/>
      <c r="E45" s="429"/>
      <c r="F45" s="429"/>
      <c r="G45" s="429"/>
    </row>
    <row r="46" spans="1:7" ht="13.5" customHeight="1" thickTop="1" x14ac:dyDescent="0.25"/>
    <row r="47" spans="1:7" ht="13.5" customHeight="1" x14ac:dyDescent="0.25"/>
    <row r="48" spans="1:7" ht="24" customHeight="1" x14ac:dyDescent="0.25">
      <c r="B48" s="527" t="s">
        <v>273</v>
      </c>
      <c r="C48" s="527"/>
      <c r="D48" s="527"/>
    </row>
    <row r="49" spans="2:6" ht="21" customHeight="1" x14ac:dyDescent="0.25">
      <c r="B49" s="131" t="s">
        <v>219</v>
      </c>
      <c r="F49" s="244"/>
    </row>
    <row r="50" spans="2:6" ht="14.25" customHeight="1" x14ac:dyDescent="0.25">
      <c r="B50" s="95" t="s">
        <v>217</v>
      </c>
      <c r="C50" s="165">
        <v>7.0000000000000007E-2</v>
      </c>
      <c r="D50" s="166" t="s">
        <v>255</v>
      </c>
    </row>
    <row r="51" spans="2:6" ht="15" customHeight="1" x14ac:dyDescent="0.25"/>
    <row r="52" spans="2:6" ht="15" customHeight="1" x14ac:dyDescent="0.25">
      <c r="B52" s="95" t="s">
        <v>211</v>
      </c>
      <c r="C52" s="158" t="s">
        <v>212</v>
      </c>
      <c r="D52" s="165" t="s">
        <v>149</v>
      </c>
    </row>
    <row r="53" spans="2:6" ht="15" customHeight="1" x14ac:dyDescent="0.25">
      <c r="B53" s="486" t="s">
        <v>431</v>
      </c>
      <c r="C53" s="127">
        <v>0.25</v>
      </c>
      <c r="D53" s="129" t="s">
        <v>157</v>
      </c>
    </row>
    <row r="54" spans="2:6" ht="15" customHeight="1" x14ac:dyDescent="0.25">
      <c r="B54" s="486" t="s">
        <v>432</v>
      </c>
      <c r="C54" s="127">
        <v>1.25</v>
      </c>
      <c r="D54" s="129" t="s">
        <v>441</v>
      </c>
    </row>
    <row r="55" spans="2:6" ht="15" customHeight="1" x14ac:dyDescent="0.25">
      <c r="B55" s="486" t="s">
        <v>433</v>
      </c>
      <c r="C55" s="127">
        <v>0.76</v>
      </c>
      <c r="D55" s="129" t="s">
        <v>157</v>
      </c>
    </row>
    <row r="56" spans="2:6" ht="14.25" customHeight="1" x14ac:dyDescent="0.25">
      <c r="B56" s="129" t="s">
        <v>151</v>
      </c>
      <c r="C56" s="167">
        <v>0.61</v>
      </c>
      <c r="D56" s="168" t="s">
        <v>152</v>
      </c>
    </row>
    <row r="57" spans="2:6" ht="14.25" customHeight="1" x14ac:dyDescent="0.25">
      <c r="B57" s="129" t="str">
        <f>"Batt Insulation R"&amp;C57</f>
        <v>Batt Insulation R38</v>
      </c>
      <c r="C57" s="220">
        <f>E10</f>
        <v>38</v>
      </c>
      <c r="D57" s="129"/>
    </row>
    <row r="58" spans="2:6" ht="14.25" customHeight="1" x14ac:dyDescent="0.25">
      <c r="B58" s="129" t="s">
        <v>153</v>
      </c>
      <c r="C58" s="167">
        <v>4.38</v>
      </c>
      <c r="D58" s="129" t="s">
        <v>154</v>
      </c>
    </row>
    <row r="59" spans="2:6" ht="14.25" customHeight="1" x14ac:dyDescent="0.25">
      <c r="B59" s="129" t="s">
        <v>215</v>
      </c>
      <c r="C59" s="167">
        <v>0.45</v>
      </c>
      <c r="D59" s="129" t="s">
        <v>155</v>
      </c>
    </row>
    <row r="60" spans="2:6" ht="14.25" customHeight="1" x14ac:dyDescent="0.25">
      <c r="B60" s="130" t="s">
        <v>156</v>
      </c>
      <c r="C60" s="169">
        <v>0.92</v>
      </c>
      <c r="D60" s="130" t="s">
        <v>157</v>
      </c>
    </row>
    <row r="63" spans="2:6" x14ac:dyDescent="0.25">
      <c r="B63" s="160" t="s">
        <v>241</v>
      </c>
    </row>
    <row r="64" spans="2:6" x14ac:dyDescent="0.25">
      <c r="B64" s="160" t="s">
        <v>381</v>
      </c>
    </row>
    <row r="65" spans="1:6" ht="42.75" customHeight="1" x14ac:dyDescent="0.25">
      <c r="B65" s="527" t="s">
        <v>271</v>
      </c>
      <c r="C65" s="527"/>
      <c r="D65" s="527"/>
    </row>
    <row r="66" spans="1:6" ht="27.75" customHeight="1" x14ac:dyDescent="0.25">
      <c r="A66" s="170"/>
      <c r="B66" s="95" t="s">
        <v>211</v>
      </c>
      <c r="C66" s="158" t="s">
        <v>212</v>
      </c>
      <c r="D66" s="171" t="s">
        <v>149</v>
      </c>
      <c r="E66" s="170"/>
      <c r="F66" s="170"/>
    </row>
    <row r="67" spans="1:6" ht="14.25" customHeight="1" x14ac:dyDescent="0.25">
      <c r="A67" s="167"/>
      <c r="B67" s="128" t="s">
        <v>162</v>
      </c>
      <c r="C67" s="171">
        <v>0.25</v>
      </c>
      <c r="D67" s="172" t="s">
        <v>157</v>
      </c>
      <c r="E67" s="170"/>
      <c r="F67" s="170"/>
    </row>
    <row r="68" spans="1:6" ht="14.25" customHeight="1" x14ac:dyDescent="0.25">
      <c r="A68" s="167"/>
      <c r="B68" s="129" t="s">
        <v>221</v>
      </c>
      <c r="C68" s="173">
        <f>0.8/9.7</f>
        <v>8.2474226804123724E-2</v>
      </c>
      <c r="D68" s="129" t="s">
        <v>163</v>
      </c>
      <c r="E68" s="170"/>
      <c r="F68" s="170"/>
    </row>
    <row r="69" spans="1:6" ht="14.25" customHeight="1" x14ac:dyDescent="0.25">
      <c r="A69" s="167"/>
      <c r="B69" s="129" t="s">
        <v>274</v>
      </c>
      <c r="C69" s="174">
        <v>0</v>
      </c>
      <c r="D69" s="129"/>
      <c r="E69" s="170"/>
      <c r="F69" s="170"/>
    </row>
    <row r="70" spans="1:6" ht="14.25" customHeight="1" x14ac:dyDescent="0.25">
      <c r="A70" s="167"/>
      <c r="B70" s="129" t="s">
        <v>213</v>
      </c>
      <c r="C70" s="175">
        <f>C109</f>
        <v>1.0140947636940258</v>
      </c>
      <c r="D70" s="129" t="s">
        <v>165</v>
      </c>
      <c r="E70" s="170"/>
      <c r="F70" s="170"/>
    </row>
    <row r="71" spans="1:6" ht="14.25" customHeight="1" x14ac:dyDescent="0.25">
      <c r="A71" s="167"/>
      <c r="B71" s="129" t="str">
        <f>"0.75 Inch"&amp;" R"&amp;C71&amp;" "&amp;"Insulation Board"</f>
        <v>0.75 Inch R4 Insulation Board</v>
      </c>
      <c r="C71" s="175">
        <f>E12</f>
        <v>4</v>
      </c>
      <c r="D71" s="129"/>
      <c r="E71" s="170"/>
      <c r="F71" s="170"/>
    </row>
    <row r="72" spans="1:6" ht="14.25" customHeight="1" x14ac:dyDescent="0.25">
      <c r="A72" s="167"/>
      <c r="B72" s="129" t="s">
        <v>214</v>
      </c>
      <c r="C72" s="176">
        <v>1.22</v>
      </c>
      <c r="D72" s="129" t="s">
        <v>166</v>
      </c>
      <c r="E72" s="170"/>
      <c r="F72" s="170"/>
    </row>
    <row r="73" spans="1:6" ht="14.25" customHeight="1" x14ac:dyDescent="0.25">
      <c r="A73" s="167"/>
      <c r="B73" s="129" t="s">
        <v>215</v>
      </c>
      <c r="C73" s="176">
        <v>0.45</v>
      </c>
      <c r="D73" s="129" t="s">
        <v>155</v>
      </c>
      <c r="E73" s="170"/>
    </row>
    <row r="74" spans="1:6" ht="14.25" customHeight="1" x14ac:dyDescent="0.25">
      <c r="A74" s="167"/>
      <c r="B74" s="130" t="s">
        <v>167</v>
      </c>
      <c r="C74" s="177">
        <v>0.68</v>
      </c>
      <c r="D74" s="130" t="s">
        <v>157</v>
      </c>
      <c r="E74" s="170"/>
      <c r="F74" s="170"/>
    </row>
    <row r="75" spans="1:6" ht="13.5" customHeight="1" x14ac:dyDescent="0.25"/>
    <row r="76" spans="1:6" ht="13.5" customHeight="1" x14ac:dyDescent="0.25"/>
    <row r="77" spans="1:6" ht="13.5" customHeight="1" x14ac:dyDescent="0.25">
      <c r="A77" s="160" t="s">
        <v>241</v>
      </c>
    </row>
    <row r="78" spans="1:6" ht="36.75" customHeight="1" x14ac:dyDescent="0.25">
      <c r="B78" s="527" t="s">
        <v>272</v>
      </c>
      <c r="C78" s="527"/>
      <c r="D78" s="527"/>
      <c r="E78" s="178"/>
    </row>
    <row r="79" spans="1:6" ht="16.5" customHeight="1" x14ac:dyDescent="0.25">
      <c r="A79" s="178"/>
      <c r="B79" s="95" t="s">
        <v>222</v>
      </c>
      <c r="C79" s="98">
        <f>0.25</f>
        <v>0.25</v>
      </c>
      <c r="D79" s="158"/>
      <c r="E79" s="178"/>
    </row>
    <row r="80" spans="1:6" ht="13.5" customHeight="1" x14ac:dyDescent="0.25">
      <c r="A80" s="170"/>
      <c r="E80" s="127"/>
    </row>
    <row r="81" spans="1:7" ht="16.5" customHeight="1" x14ac:dyDescent="0.25">
      <c r="B81" s="131" t="s">
        <v>220</v>
      </c>
      <c r="E81" s="179"/>
    </row>
    <row r="82" spans="1:7" ht="16.5" customHeight="1" x14ac:dyDescent="0.25">
      <c r="B82" s="95" t="s">
        <v>211</v>
      </c>
      <c r="C82" s="158" t="s">
        <v>212</v>
      </c>
      <c r="D82" s="165" t="s">
        <v>149</v>
      </c>
      <c r="E82" s="179"/>
    </row>
    <row r="83" spans="1:7" ht="15.75" customHeight="1" x14ac:dyDescent="0.25">
      <c r="A83" s="167"/>
      <c r="B83" s="128" t="s">
        <v>162</v>
      </c>
      <c r="C83" s="180">
        <v>0.25</v>
      </c>
      <c r="D83" s="172" t="s">
        <v>157</v>
      </c>
      <c r="E83" s="181"/>
    </row>
    <row r="84" spans="1:7" ht="15.75" customHeight="1" x14ac:dyDescent="0.25">
      <c r="A84" s="167"/>
      <c r="B84" s="129" t="s">
        <v>221</v>
      </c>
      <c r="C84" s="173">
        <f>0.8/9.7</f>
        <v>8.2474226804123724E-2</v>
      </c>
      <c r="D84" s="182" t="s">
        <v>163</v>
      </c>
      <c r="E84" s="181"/>
    </row>
    <row r="85" spans="1:7" ht="15.75" customHeight="1" x14ac:dyDescent="0.25">
      <c r="A85" s="167"/>
      <c r="B85" s="129" t="s">
        <v>275</v>
      </c>
      <c r="C85" s="181">
        <v>0.79</v>
      </c>
      <c r="D85" s="183" t="s">
        <v>155</v>
      </c>
      <c r="E85" s="184"/>
    </row>
    <row r="86" spans="1:7" ht="15.75" customHeight="1" x14ac:dyDescent="0.25">
      <c r="A86" s="167"/>
      <c r="B86" s="129" t="s">
        <v>153</v>
      </c>
      <c r="C86" s="181">
        <v>4.38</v>
      </c>
      <c r="D86" s="183" t="s">
        <v>154</v>
      </c>
      <c r="E86" s="167"/>
    </row>
    <row r="87" spans="1:7" ht="15.75" customHeight="1" x14ac:dyDescent="0.25">
      <c r="A87" s="167"/>
      <c r="B87" s="129" t="str">
        <f>"Fiber Glass Batt Insulation"&amp;" R"&amp;C87</f>
        <v>Fiber Glass Batt Insulation R13</v>
      </c>
      <c r="C87" s="219">
        <f>E19</f>
        <v>13</v>
      </c>
      <c r="D87" s="185"/>
      <c r="E87" s="167"/>
    </row>
    <row r="88" spans="1:7" ht="15.75" customHeight="1" x14ac:dyDescent="0.25">
      <c r="A88" s="167"/>
      <c r="B88" s="129" t="s">
        <v>215</v>
      </c>
      <c r="C88" s="167">
        <v>0.45</v>
      </c>
      <c r="D88" s="168" t="s">
        <v>155</v>
      </c>
    </row>
    <row r="89" spans="1:7" ht="15.75" customHeight="1" x14ac:dyDescent="0.25">
      <c r="A89" s="167"/>
      <c r="B89" s="130" t="s">
        <v>167</v>
      </c>
      <c r="C89" s="169">
        <v>0.68</v>
      </c>
      <c r="D89" s="186" t="s">
        <v>157</v>
      </c>
    </row>
    <row r="90" spans="1:7" ht="14.25" customHeight="1" x14ac:dyDescent="0.25"/>
    <row r="91" spans="1:7" ht="14.25" customHeight="1" x14ac:dyDescent="0.25"/>
    <row r="92" spans="1:7" ht="14.25" customHeight="1" x14ac:dyDescent="0.25"/>
    <row r="93" spans="1:7" ht="14.25" customHeight="1" x14ac:dyDescent="0.25"/>
    <row r="94" spans="1:7" ht="16.5" customHeight="1" x14ac:dyDescent="0.25">
      <c r="A94" s="170"/>
      <c r="B94" s="166" t="s">
        <v>223</v>
      </c>
      <c r="C94" s="187"/>
      <c r="D94" s="128"/>
      <c r="E94" s="170"/>
      <c r="F94" s="170"/>
      <c r="G94" s="170"/>
    </row>
    <row r="95" spans="1:7" ht="16.5" customHeight="1" x14ac:dyDescent="0.25">
      <c r="A95" s="170"/>
      <c r="B95" s="95" t="s">
        <v>256</v>
      </c>
      <c r="C95" s="188" t="s">
        <v>171</v>
      </c>
      <c r="D95" s="165" t="s">
        <v>172</v>
      </c>
      <c r="E95" s="167"/>
      <c r="F95" s="170"/>
      <c r="G95" s="170"/>
    </row>
    <row r="96" spans="1:7" ht="15.75" customHeight="1" x14ac:dyDescent="0.25">
      <c r="A96" s="170"/>
      <c r="B96" s="189" t="s">
        <v>173</v>
      </c>
      <c r="C96" s="190">
        <v>7.625</v>
      </c>
      <c r="D96" s="171" t="s">
        <v>174</v>
      </c>
      <c r="E96" s="170"/>
      <c r="F96" s="170"/>
      <c r="G96" s="170"/>
    </row>
    <row r="97" spans="1:7" ht="15.75" customHeight="1" x14ac:dyDescent="0.25">
      <c r="A97" s="170"/>
      <c r="B97" s="191" t="s">
        <v>175</v>
      </c>
      <c r="C97" s="192">
        <v>7.625</v>
      </c>
      <c r="D97" s="176" t="s">
        <v>174</v>
      </c>
      <c r="E97" s="170"/>
      <c r="F97" s="170"/>
      <c r="G97" s="170"/>
    </row>
    <row r="98" spans="1:7" ht="15.75" customHeight="1" x14ac:dyDescent="0.25">
      <c r="A98" s="170"/>
      <c r="B98" s="191" t="s">
        <v>176</v>
      </c>
      <c r="C98" s="193">
        <v>15.625</v>
      </c>
      <c r="D98" s="176" t="s">
        <v>174</v>
      </c>
      <c r="E98" s="170"/>
      <c r="F98" s="170"/>
      <c r="G98" s="170"/>
    </row>
    <row r="99" spans="1:7" ht="15.75" customHeight="1" x14ac:dyDescent="0.25">
      <c r="A99" s="170"/>
      <c r="B99" s="191" t="s">
        <v>177</v>
      </c>
      <c r="C99" s="194">
        <v>1</v>
      </c>
      <c r="D99" s="176" t="s">
        <v>174</v>
      </c>
      <c r="E99" s="170"/>
      <c r="F99" s="170"/>
      <c r="G99" s="170"/>
    </row>
    <row r="100" spans="1:7" ht="15.75" customHeight="1" x14ac:dyDescent="0.25">
      <c r="A100" s="170"/>
      <c r="B100" s="191" t="s">
        <v>178</v>
      </c>
      <c r="C100" s="193">
        <v>1.25</v>
      </c>
      <c r="D100" s="176" t="s">
        <v>174</v>
      </c>
      <c r="E100" s="170"/>
      <c r="F100" s="170"/>
      <c r="G100" s="170"/>
    </row>
    <row r="101" spans="1:7" ht="15.75" customHeight="1" x14ac:dyDescent="0.25">
      <c r="A101" s="170"/>
      <c r="B101" s="191" t="s">
        <v>179</v>
      </c>
      <c r="C101" s="195">
        <v>0.1</v>
      </c>
      <c r="D101" s="176" t="s">
        <v>188</v>
      </c>
      <c r="E101" s="170"/>
      <c r="F101" s="170"/>
      <c r="G101" s="170"/>
    </row>
    <row r="102" spans="1:7" ht="15.75" customHeight="1" x14ac:dyDescent="0.25">
      <c r="A102" s="170"/>
      <c r="B102" s="191" t="s">
        <v>263</v>
      </c>
      <c r="C102" s="192">
        <v>0.86499999999999999</v>
      </c>
      <c r="D102" s="176" t="s">
        <v>188</v>
      </c>
      <c r="E102" s="170"/>
      <c r="F102" s="170"/>
      <c r="G102" s="170"/>
    </row>
    <row r="103" spans="1:7" ht="13.5" customHeight="1" x14ac:dyDescent="0.25">
      <c r="A103" s="170"/>
      <c r="B103" s="191"/>
      <c r="C103" s="193"/>
      <c r="D103" s="176"/>
      <c r="E103" s="170"/>
      <c r="F103" s="170"/>
      <c r="G103" s="170"/>
    </row>
    <row r="104" spans="1:7" ht="15.75" customHeight="1" x14ac:dyDescent="0.25">
      <c r="A104" s="170"/>
      <c r="B104" s="191" t="s">
        <v>181</v>
      </c>
      <c r="C104" s="196">
        <f>2*C100*C101</f>
        <v>0.25</v>
      </c>
      <c r="D104" s="176" t="s">
        <v>188</v>
      </c>
      <c r="E104" s="170"/>
      <c r="F104" s="170"/>
      <c r="G104" s="170"/>
    </row>
    <row r="105" spans="1:7" ht="15.75" customHeight="1" x14ac:dyDescent="0.25">
      <c r="A105" s="170"/>
      <c r="B105" s="191" t="s">
        <v>182</v>
      </c>
      <c r="C105" s="196">
        <f>(C96-2*C100)*C101</f>
        <v>0.51250000000000007</v>
      </c>
      <c r="D105" s="176" t="s">
        <v>188</v>
      </c>
      <c r="E105" s="170"/>
      <c r="F105" s="170"/>
      <c r="G105" s="170"/>
    </row>
    <row r="106" spans="1:7" ht="15.75" customHeight="1" x14ac:dyDescent="0.25">
      <c r="A106" s="170"/>
      <c r="B106" s="191" t="s">
        <v>264</v>
      </c>
      <c r="C106" s="241">
        <f>C102</f>
        <v>0.86499999999999999</v>
      </c>
      <c r="D106" s="176" t="s">
        <v>188</v>
      </c>
      <c r="E106" s="170"/>
      <c r="F106" s="170"/>
      <c r="G106" s="170"/>
    </row>
    <row r="107" spans="1:7" ht="15.75" customHeight="1" x14ac:dyDescent="0.25">
      <c r="A107" s="170"/>
      <c r="B107" s="191" t="s">
        <v>184</v>
      </c>
      <c r="C107" s="196">
        <f>3*C99/C98</f>
        <v>0.192</v>
      </c>
      <c r="D107" s="176" t="s">
        <v>185</v>
      </c>
      <c r="E107" s="170"/>
      <c r="F107" s="170"/>
      <c r="G107" s="170"/>
    </row>
    <row r="108" spans="1:7" ht="15.75" customHeight="1" x14ac:dyDescent="0.25">
      <c r="A108" s="170"/>
      <c r="B108" s="197" t="s">
        <v>186</v>
      </c>
      <c r="C108" s="198">
        <f>(C98-3*C99)/C98</f>
        <v>0.80800000000000005</v>
      </c>
      <c r="D108" s="176" t="s">
        <v>185</v>
      </c>
      <c r="E108" s="170"/>
      <c r="F108" s="170"/>
      <c r="G108" s="170"/>
    </row>
    <row r="109" spans="1:7" ht="16.5" customHeight="1" x14ac:dyDescent="0.25">
      <c r="A109" s="170"/>
      <c r="B109" s="199" t="s">
        <v>187</v>
      </c>
      <c r="C109" s="447">
        <f>C104+1/(C107/C105+C108/C106)</f>
        <v>1.0140947636940258</v>
      </c>
      <c r="D109" s="165" t="s">
        <v>188</v>
      </c>
      <c r="E109" s="170"/>
      <c r="F109" s="170"/>
      <c r="G109" s="170"/>
    </row>
    <row r="111" spans="1:7" x14ac:dyDescent="0.25">
      <c r="B111" s="200"/>
    </row>
    <row r="112" spans="1:7" ht="15" customHeight="1" x14ac:dyDescent="0.25">
      <c r="B112" s="200" t="s">
        <v>189</v>
      </c>
    </row>
    <row r="113" spans="1:4" ht="34.5" customHeight="1" x14ac:dyDescent="0.25">
      <c r="B113" s="522" t="s">
        <v>190</v>
      </c>
      <c r="C113" s="522"/>
      <c r="D113" s="522"/>
    </row>
    <row r="117" spans="1:4" x14ac:dyDescent="0.25">
      <c r="C117" s="200"/>
    </row>
    <row r="118" spans="1:4" x14ac:dyDescent="0.25">
      <c r="A118" s="164"/>
    </row>
    <row r="119" spans="1:4" x14ac:dyDescent="0.25">
      <c r="A119" s="164"/>
    </row>
    <row r="120" spans="1:4" x14ac:dyDescent="0.25">
      <c r="A120" s="164"/>
    </row>
    <row r="121" spans="1:4" x14ac:dyDescent="0.25">
      <c r="A121" s="164"/>
    </row>
  </sheetData>
  <sheetProtection password="BDDF" sheet="1" objects="1" scenarios="1"/>
  <mergeCells count="4">
    <mergeCell ref="B78:D78"/>
    <mergeCell ref="B113:D113"/>
    <mergeCell ref="B65:D65"/>
    <mergeCell ref="B48:D48"/>
  </mergeCells>
  <pageMargins left="0.7" right="0.7" top="0.75" bottom="0.75" header="0.3" footer="0.3"/>
  <pageSetup scale="55" orientation="portrait" r:id="rId1"/>
  <rowBreaks count="1" manualBreakCount="1">
    <brk id="36"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I160"/>
  <sheetViews>
    <sheetView zoomScale="85" zoomScaleNormal="85" workbookViewId="0">
      <selection activeCell="C84" sqref="C84"/>
    </sheetView>
  </sheetViews>
  <sheetFormatPr defaultColWidth="9.1796875" defaultRowHeight="12.5" x14ac:dyDescent="0.25"/>
  <cols>
    <col min="1" max="1" width="6.1796875" style="160" customWidth="1"/>
    <col min="2" max="2" width="46.7265625" style="160" customWidth="1"/>
    <col min="3" max="3" width="25" style="160" customWidth="1"/>
    <col min="4" max="4" width="36.7265625" style="160" customWidth="1"/>
    <col min="5" max="5" width="14.1796875" style="160" customWidth="1"/>
    <col min="6" max="6" width="13.26953125" style="160" customWidth="1"/>
    <col min="7" max="7" width="10.81640625" style="160" customWidth="1"/>
    <col min="8" max="16384" width="9.1796875" style="160"/>
  </cols>
  <sheetData>
    <row r="2" spans="1:7" ht="13" x14ac:dyDescent="0.25">
      <c r="B2" s="161" t="s">
        <v>304</v>
      </c>
    </row>
    <row r="3" spans="1:7" ht="13" x14ac:dyDescent="0.25">
      <c r="B3" s="161" t="s">
        <v>280</v>
      </c>
      <c r="C3" s="161"/>
    </row>
    <row r="4" spans="1:7" ht="14.5" x14ac:dyDescent="0.35">
      <c r="B4" s="4" t="s">
        <v>102</v>
      </c>
      <c r="D4" s="161" t="s">
        <v>283</v>
      </c>
    </row>
    <row r="5" spans="1:7" ht="15" customHeight="1" x14ac:dyDescent="0.25">
      <c r="B5" s="161"/>
    </row>
    <row r="6" spans="1:7" ht="47.25" customHeight="1" thickBot="1" x14ac:dyDescent="0.3">
      <c r="B6" s="434" t="s">
        <v>191</v>
      </c>
      <c r="C6" s="435" t="s">
        <v>192</v>
      </c>
      <c r="D6" s="435" t="s">
        <v>298</v>
      </c>
      <c r="E6" s="421" t="s">
        <v>209</v>
      </c>
      <c r="F6" s="421" t="s">
        <v>210</v>
      </c>
      <c r="G6" s="421" t="s">
        <v>218</v>
      </c>
    </row>
    <row r="7" spans="1:7" ht="14.25" customHeight="1" thickTop="1" x14ac:dyDescent="0.25">
      <c r="B7" s="415" t="s">
        <v>194</v>
      </c>
      <c r="C7" s="415" t="s">
        <v>244</v>
      </c>
      <c r="D7" s="415" t="s">
        <v>195</v>
      </c>
      <c r="E7" s="417"/>
      <c r="F7" s="417"/>
      <c r="G7" s="417">
        <v>2000</v>
      </c>
    </row>
    <row r="8" spans="1:7" ht="14.25" customHeight="1" x14ac:dyDescent="0.25">
      <c r="A8" s="164"/>
      <c r="B8" s="438" t="s">
        <v>402</v>
      </c>
      <c r="C8" s="151" t="s">
        <v>403</v>
      </c>
      <c r="D8" s="255" t="s">
        <v>300</v>
      </c>
      <c r="E8" s="270">
        <v>19</v>
      </c>
      <c r="F8" s="270"/>
      <c r="G8" s="154">
        <f>50*40</f>
        <v>2000</v>
      </c>
    </row>
    <row r="9" spans="1:7" ht="14.25" customHeight="1" x14ac:dyDescent="0.25">
      <c r="A9" s="164"/>
      <c r="B9" s="438" t="s">
        <v>1</v>
      </c>
      <c r="C9" s="157" t="s">
        <v>245</v>
      </c>
      <c r="D9" s="157" t="s">
        <v>295</v>
      </c>
      <c r="E9" s="270"/>
      <c r="F9" s="270">
        <v>0.75</v>
      </c>
      <c r="G9" s="270"/>
    </row>
    <row r="10" spans="1:7" ht="14.25" customHeight="1" x14ac:dyDescent="0.25">
      <c r="A10" s="164"/>
      <c r="B10" s="438" t="s">
        <v>404</v>
      </c>
      <c r="C10" s="157" t="s">
        <v>244</v>
      </c>
      <c r="D10" s="157" t="s">
        <v>258</v>
      </c>
      <c r="E10" s="439">
        <v>38</v>
      </c>
      <c r="F10" s="270"/>
      <c r="G10" s="218">
        <v>2000</v>
      </c>
    </row>
    <row r="11" spans="1:7" ht="14.25" customHeight="1" x14ac:dyDescent="0.25">
      <c r="A11" s="164"/>
      <c r="B11" s="438" t="s">
        <v>2</v>
      </c>
      <c r="C11" s="157" t="s">
        <v>247</v>
      </c>
      <c r="D11" s="157" t="s">
        <v>297</v>
      </c>
      <c r="E11" s="270">
        <v>0.75</v>
      </c>
      <c r="F11" s="270">
        <v>0.25</v>
      </c>
      <c r="G11" s="270">
        <v>10</v>
      </c>
    </row>
    <row r="12" spans="1:7" ht="14.25" customHeight="1" x14ac:dyDescent="0.25">
      <c r="A12" s="164"/>
      <c r="B12" s="438" t="s">
        <v>405</v>
      </c>
      <c r="C12" s="151" t="s">
        <v>198</v>
      </c>
      <c r="D12" s="255" t="s">
        <v>294</v>
      </c>
      <c r="E12" s="425">
        <v>13</v>
      </c>
      <c r="F12" s="153"/>
      <c r="G12" s="154">
        <f>50*10</f>
        <v>500</v>
      </c>
    </row>
    <row r="13" spans="1:7" ht="14.25" customHeight="1" x14ac:dyDescent="0.25">
      <c r="A13" s="164"/>
      <c r="B13" s="438" t="s">
        <v>3</v>
      </c>
      <c r="C13" s="157" t="s">
        <v>248</v>
      </c>
      <c r="D13" s="157" t="s">
        <v>77</v>
      </c>
      <c r="E13" s="270">
        <v>0.65</v>
      </c>
      <c r="F13" s="218">
        <v>0</v>
      </c>
      <c r="G13" s="270">
        <v>24</v>
      </c>
    </row>
    <row r="14" spans="1:7" ht="14.25" customHeight="1" x14ac:dyDescent="0.25">
      <c r="A14" s="164"/>
      <c r="B14" s="438" t="s">
        <v>103</v>
      </c>
      <c r="C14" s="151" t="s">
        <v>394</v>
      </c>
      <c r="D14" s="255" t="s">
        <v>297</v>
      </c>
      <c r="E14" s="153">
        <v>0.75</v>
      </c>
      <c r="F14" s="153">
        <v>0.25</v>
      </c>
      <c r="G14" s="270">
        <v>75</v>
      </c>
    </row>
    <row r="15" spans="1:7" ht="14.25" customHeight="1" x14ac:dyDescent="0.25">
      <c r="A15" s="164"/>
      <c r="B15" s="438" t="s">
        <v>104</v>
      </c>
      <c r="C15" s="151" t="s">
        <v>199</v>
      </c>
      <c r="D15" s="255" t="s">
        <v>294</v>
      </c>
      <c r="E15" s="155">
        <f>E12</f>
        <v>13</v>
      </c>
      <c r="F15" s="153"/>
      <c r="G15" s="155">
        <f>40*10</f>
        <v>400</v>
      </c>
    </row>
    <row r="16" spans="1:7" ht="14.25" customHeight="1" x14ac:dyDescent="0.25">
      <c r="A16" s="164"/>
      <c r="B16" s="438" t="s">
        <v>105</v>
      </c>
      <c r="C16" s="151" t="s">
        <v>394</v>
      </c>
      <c r="D16" s="255" t="s">
        <v>297</v>
      </c>
      <c r="E16" s="153">
        <v>0.75</v>
      </c>
      <c r="F16" s="153">
        <v>0.25</v>
      </c>
      <c r="G16" s="270">
        <v>75</v>
      </c>
    </row>
    <row r="17" spans="1:7" ht="14.25" customHeight="1" x14ac:dyDescent="0.25">
      <c r="A17" s="164"/>
      <c r="B17" s="438" t="s">
        <v>106</v>
      </c>
      <c r="C17" s="151" t="s">
        <v>199</v>
      </c>
      <c r="D17" s="255" t="s">
        <v>294</v>
      </c>
      <c r="E17" s="155">
        <f>E12</f>
        <v>13</v>
      </c>
      <c r="F17" s="153"/>
      <c r="G17" s="155">
        <f>40*10</f>
        <v>400</v>
      </c>
    </row>
    <row r="18" spans="1:7" ht="14.25" customHeight="1" x14ac:dyDescent="0.25">
      <c r="A18" s="164"/>
      <c r="B18" s="438" t="s">
        <v>107</v>
      </c>
      <c r="C18" s="151" t="s">
        <v>395</v>
      </c>
      <c r="D18" s="255" t="s">
        <v>297</v>
      </c>
      <c r="E18" s="153">
        <v>0.75</v>
      </c>
      <c r="F18" s="153">
        <v>0.25</v>
      </c>
      <c r="G18" s="270">
        <v>15</v>
      </c>
    </row>
    <row r="19" spans="1:7" ht="14.25" customHeight="1" x14ac:dyDescent="0.25">
      <c r="A19" s="164"/>
      <c r="B19" s="438" t="s">
        <v>406</v>
      </c>
      <c r="C19" s="157" t="s">
        <v>200</v>
      </c>
      <c r="D19" s="157" t="s">
        <v>294</v>
      </c>
      <c r="E19" s="218">
        <v>13</v>
      </c>
      <c r="F19" s="270"/>
      <c r="G19" s="270">
        <f>10*10</f>
        <v>100</v>
      </c>
    </row>
    <row r="20" spans="1:7" ht="14.25" customHeight="1" x14ac:dyDescent="0.25">
      <c r="A20" s="164"/>
      <c r="B20" s="438" t="s">
        <v>108</v>
      </c>
      <c r="C20" s="151" t="s">
        <v>397</v>
      </c>
      <c r="D20" s="255" t="s">
        <v>297</v>
      </c>
      <c r="E20" s="153">
        <v>0.75</v>
      </c>
      <c r="F20" s="153">
        <v>0.25</v>
      </c>
      <c r="G20" s="270">
        <v>60</v>
      </c>
    </row>
    <row r="21" spans="1:7" ht="14.25" customHeight="1" x14ac:dyDescent="0.25">
      <c r="A21" s="164"/>
      <c r="B21" s="438" t="s">
        <v>109</v>
      </c>
      <c r="C21" s="151" t="s">
        <v>199</v>
      </c>
      <c r="D21" s="255" t="s">
        <v>294</v>
      </c>
      <c r="E21" s="155">
        <f>E12</f>
        <v>13</v>
      </c>
      <c r="F21" s="153"/>
      <c r="G21" s="155">
        <f>40*10</f>
        <v>400</v>
      </c>
    </row>
    <row r="22" spans="1:7" ht="14.25" customHeight="1" x14ac:dyDescent="0.25">
      <c r="A22" s="164"/>
      <c r="B22" s="438" t="s">
        <v>110</v>
      </c>
      <c r="C22" s="151" t="s">
        <v>394</v>
      </c>
      <c r="D22" s="255" t="s">
        <v>297</v>
      </c>
      <c r="E22" s="153">
        <v>0.75</v>
      </c>
      <c r="F22" s="153">
        <v>0.25</v>
      </c>
      <c r="G22" s="270">
        <v>75</v>
      </c>
    </row>
    <row r="23" spans="1:7" ht="14.25" customHeight="1" x14ac:dyDescent="0.25">
      <c r="A23" s="164"/>
      <c r="B23" s="157" t="s">
        <v>12</v>
      </c>
      <c r="C23" s="157" t="s">
        <v>286</v>
      </c>
      <c r="D23" s="157" t="s">
        <v>291</v>
      </c>
      <c r="E23" s="218">
        <v>5</v>
      </c>
      <c r="F23" s="270"/>
      <c r="G23" s="270"/>
    </row>
    <row r="24" spans="1:7" ht="14.25" customHeight="1" x14ac:dyDescent="0.25">
      <c r="A24" s="164"/>
      <c r="B24" s="157" t="s">
        <v>13</v>
      </c>
      <c r="C24" s="157" t="s">
        <v>201</v>
      </c>
      <c r="D24" s="157" t="s">
        <v>292</v>
      </c>
      <c r="E24" s="270">
        <v>8.1999999999999993</v>
      </c>
      <c r="F24" s="270"/>
      <c r="G24" s="270"/>
    </row>
    <row r="25" spans="1:7" ht="14.25" customHeight="1" x14ac:dyDescent="0.25">
      <c r="A25" s="164"/>
      <c r="B25" s="157" t="s">
        <v>14</v>
      </c>
      <c r="C25" s="157" t="s">
        <v>201</v>
      </c>
      <c r="D25" s="157" t="s">
        <v>293</v>
      </c>
      <c r="E25" s="218">
        <v>14</v>
      </c>
      <c r="F25" s="270"/>
      <c r="G25" s="270"/>
    </row>
    <row r="26" spans="1:7" ht="14.25" customHeight="1" x14ac:dyDescent="0.25">
      <c r="A26" s="164"/>
      <c r="B26" s="157" t="s">
        <v>15</v>
      </c>
      <c r="C26" s="157" t="s">
        <v>202</v>
      </c>
      <c r="D26" s="157" t="s">
        <v>415</v>
      </c>
      <c r="E26" s="425">
        <v>8</v>
      </c>
      <c r="F26" s="153"/>
      <c r="G26" s="153"/>
    </row>
    <row r="27" spans="1:7" ht="14.25" customHeight="1" x14ac:dyDescent="0.25">
      <c r="A27" s="164"/>
      <c r="B27" s="157" t="s">
        <v>16</v>
      </c>
      <c r="C27" s="157" t="s">
        <v>203</v>
      </c>
      <c r="D27" s="157" t="s">
        <v>415</v>
      </c>
      <c r="E27" s="218">
        <v>6</v>
      </c>
      <c r="F27" s="270"/>
      <c r="G27" s="270"/>
    </row>
    <row r="28" spans="1:7" ht="15.75" customHeight="1" x14ac:dyDescent="0.25">
      <c r="A28" s="164"/>
      <c r="B28" s="157" t="s">
        <v>17</v>
      </c>
      <c r="C28" s="157"/>
      <c r="D28" s="157" t="s">
        <v>287</v>
      </c>
      <c r="E28" s="270">
        <v>0.04</v>
      </c>
      <c r="F28" s="270"/>
      <c r="G28" s="270"/>
    </row>
    <row r="29" spans="1:7" ht="14.25" customHeight="1" x14ac:dyDescent="0.25">
      <c r="A29" s="164"/>
      <c r="B29" s="157" t="s">
        <v>18</v>
      </c>
      <c r="C29" s="157" t="s">
        <v>201</v>
      </c>
      <c r="D29" s="157" t="s">
        <v>299</v>
      </c>
      <c r="E29" s="254">
        <v>0.02</v>
      </c>
      <c r="F29" s="270"/>
      <c r="G29" s="270"/>
    </row>
    <row r="30" spans="1:7" ht="14.25" customHeight="1" x14ac:dyDescent="0.25">
      <c r="A30" s="164"/>
      <c r="B30" s="157" t="s">
        <v>19</v>
      </c>
      <c r="C30" s="157" t="s">
        <v>204</v>
      </c>
      <c r="D30" s="157" t="s">
        <v>205</v>
      </c>
      <c r="E30" s="270" t="s">
        <v>205</v>
      </c>
      <c r="F30" s="270"/>
      <c r="G30" s="270"/>
    </row>
    <row r="31" spans="1:7" ht="14.25" customHeight="1" x14ac:dyDescent="0.25">
      <c r="A31" s="164"/>
      <c r="B31" s="157" t="s">
        <v>20</v>
      </c>
      <c r="C31" s="157" t="s">
        <v>206</v>
      </c>
      <c r="D31" s="157" t="s">
        <v>288</v>
      </c>
      <c r="E31" s="270">
        <v>0.95</v>
      </c>
      <c r="F31" s="270"/>
      <c r="G31" s="270"/>
    </row>
    <row r="32" spans="1:7" ht="14.25" customHeight="1" x14ac:dyDescent="0.25">
      <c r="A32" s="164"/>
      <c r="B32" s="157" t="s">
        <v>21</v>
      </c>
      <c r="C32" s="157" t="s">
        <v>207</v>
      </c>
      <c r="D32" s="157" t="s">
        <v>289</v>
      </c>
      <c r="E32" s="270">
        <v>3</v>
      </c>
      <c r="F32" s="270"/>
      <c r="G32" s="270"/>
    </row>
    <row r="33" spans="1:7" ht="14.25" customHeight="1" x14ac:dyDescent="0.25">
      <c r="A33" s="164"/>
      <c r="B33" s="157" t="s">
        <v>22</v>
      </c>
      <c r="C33" s="157" t="s">
        <v>195</v>
      </c>
      <c r="D33" s="157" t="s">
        <v>195</v>
      </c>
      <c r="E33" s="270" t="s">
        <v>205</v>
      </c>
      <c r="F33" s="270"/>
      <c r="G33" s="270"/>
    </row>
    <row r="34" spans="1:7" ht="14.25" customHeight="1" x14ac:dyDescent="0.25">
      <c r="A34" s="164"/>
      <c r="B34" s="157" t="s">
        <v>23</v>
      </c>
      <c r="C34" s="157" t="s">
        <v>208</v>
      </c>
      <c r="D34" s="157" t="s">
        <v>296</v>
      </c>
      <c r="E34" s="426">
        <f>75/100</f>
        <v>0.75</v>
      </c>
      <c r="F34" s="270"/>
      <c r="G34" s="270"/>
    </row>
    <row r="35" spans="1:7" ht="14.25" customHeight="1" x14ac:dyDescent="0.25">
      <c r="A35" s="164"/>
      <c r="B35" s="157" t="s">
        <v>24</v>
      </c>
      <c r="C35" s="157" t="s">
        <v>195</v>
      </c>
      <c r="D35" s="157" t="s">
        <v>195</v>
      </c>
      <c r="E35" s="270" t="s">
        <v>205</v>
      </c>
      <c r="F35" s="270"/>
      <c r="G35" s="270"/>
    </row>
    <row r="36" spans="1:7" ht="13.5" customHeight="1" x14ac:dyDescent="0.25">
      <c r="B36" s="159"/>
      <c r="C36" s="159"/>
      <c r="D36" s="159"/>
    </row>
    <row r="37" spans="1:7" ht="17.25" customHeight="1" thickBot="1" x14ac:dyDescent="0.3">
      <c r="B37" s="443" t="s">
        <v>401</v>
      </c>
      <c r="C37" s="440"/>
      <c r="D37" s="440"/>
      <c r="E37" s="441"/>
      <c r="F37" s="441"/>
      <c r="G37" s="442"/>
    </row>
    <row r="38" spans="1:7" ht="13.5" customHeight="1" thickTop="1" x14ac:dyDescent="0.25">
      <c r="B38" s="415" t="s">
        <v>114</v>
      </c>
      <c r="C38" s="430"/>
      <c r="D38" s="430"/>
      <c r="E38" s="430"/>
      <c r="F38" s="430"/>
      <c r="G38" s="430"/>
    </row>
    <row r="39" spans="1:7" ht="13.5" customHeight="1" x14ac:dyDescent="0.25">
      <c r="B39" s="157" t="s">
        <v>115</v>
      </c>
      <c r="C39" s="428"/>
      <c r="D39" s="428"/>
      <c r="E39" s="428"/>
      <c r="F39" s="428"/>
      <c r="G39" s="428"/>
    </row>
    <row r="40" spans="1:7" ht="13.5" customHeight="1" x14ac:dyDescent="0.25">
      <c r="B40" s="157" t="s">
        <v>71</v>
      </c>
      <c r="C40" s="428"/>
      <c r="D40" s="428"/>
      <c r="E40" s="428"/>
      <c r="F40" s="428"/>
      <c r="G40" s="428"/>
    </row>
    <row r="41" spans="1:7" ht="13.5" customHeight="1" x14ac:dyDescent="0.25">
      <c r="B41" s="157" t="s">
        <v>116</v>
      </c>
      <c r="C41" s="428"/>
      <c r="D41" s="428"/>
      <c r="E41" s="428"/>
      <c r="F41" s="428"/>
      <c r="G41" s="428"/>
    </row>
    <row r="42" spans="1:7" ht="13.5" customHeight="1" x14ac:dyDescent="0.25">
      <c r="B42" s="157" t="s">
        <v>117</v>
      </c>
      <c r="C42" s="428"/>
      <c r="D42" s="428"/>
      <c r="E42" s="428"/>
      <c r="F42" s="428"/>
      <c r="G42" s="428"/>
    </row>
    <row r="43" spans="1:7" ht="13.5" customHeight="1" x14ac:dyDescent="0.25">
      <c r="B43" s="157" t="s">
        <v>78</v>
      </c>
      <c r="C43" s="428"/>
      <c r="D43" s="428"/>
      <c r="E43" s="428"/>
      <c r="F43" s="428"/>
      <c r="G43" s="428"/>
    </row>
    <row r="44" spans="1:7" ht="13.5" customHeight="1" x14ac:dyDescent="0.25">
      <c r="B44" s="157" t="s">
        <v>72</v>
      </c>
      <c r="C44" s="428"/>
      <c r="D44" s="428"/>
      <c r="E44" s="428"/>
      <c r="F44" s="428"/>
      <c r="G44" s="428"/>
    </row>
    <row r="45" spans="1:7" ht="13.5" customHeight="1" thickBot="1" x14ac:dyDescent="0.3">
      <c r="B45" s="414" t="s">
        <v>92</v>
      </c>
      <c r="C45" s="429"/>
      <c r="D45" s="429"/>
      <c r="E45" s="429"/>
      <c r="F45" s="429"/>
      <c r="G45" s="429"/>
    </row>
    <row r="46" spans="1:7" ht="13.5" customHeight="1" thickTop="1" x14ac:dyDescent="0.25"/>
    <row r="47" spans="1:7" ht="13.5" customHeight="1" x14ac:dyDescent="0.25"/>
    <row r="48" spans="1:7" ht="13.5" customHeight="1" x14ac:dyDescent="0.25"/>
    <row r="49" spans="1:9" ht="33.75" customHeight="1" x14ac:dyDescent="0.25">
      <c r="A49" s="305"/>
      <c r="B49" s="529" t="s">
        <v>367</v>
      </c>
      <c r="C49" s="529"/>
      <c r="D49" s="529"/>
      <c r="E49" s="305"/>
      <c r="F49" s="320"/>
      <c r="G49" s="320"/>
      <c r="H49" s="178"/>
      <c r="I49" s="178"/>
    </row>
    <row r="50" spans="1:9" ht="13.5" customHeight="1" x14ac:dyDescent="0.25">
      <c r="A50" s="320"/>
      <c r="B50" s="320" t="s">
        <v>376</v>
      </c>
      <c r="C50" s="320"/>
      <c r="D50" s="320"/>
      <c r="E50" s="320"/>
      <c r="F50" s="320"/>
      <c r="G50" s="320"/>
      <c r="H50" s="178"/>
      <c r="I50" s="178"/>
    </row>
    <row r="51" spans="1:9" s="178" customFormat="1" ht="13.5" customHeight="1" x14ac:dyDescent="0.25">
      <c r="A51" s="320"/>
      <c r="B51" s="376"/>
      <c r="C51" s="127"/>
      <c r="D51" s="127"/>
      <c r="E51" s="263"/>
      <c r="F51" s="320"/>
      <c r="G51" s="320"/>
    </row>
    <row r="52" spans="1:9" ht="13.5" customHeight="1" x14ac:dyDescent="0.25">
      <c r="A52" s="306"/>
      <c r="B52" s="269" t="s">
        <v>375</v>
      </c>
      <c r="C52" s="290">
        <v>0.15</v>
      </c>
      <c r="D52" s="334"/>
      <c r="F52" s="320"/>
      <c r="G52" s="320"/>
      <c r="H52" s="178"/>
      <c r="I52" s="178"/>
    </row>
    <row r="53" spans="1:9" s="178" customFormat="1" ht="13.5" customHeight="1" x14ac:dyDescent="0.25">
      <c r="A53" s="320"/>
      <c r="B53" s="376"/>
      <c r="C53" s="263"/>
      <c r="D53" s="320"/>
      <c r="F53" s="320"/>
      <c r="G53" s="320"/>
    </row>
    <row r="54" spans="1:9" ht="13.5" customHeight="1" x14ac:dyDescent="0.25">
      <c r="A54" s="263"/>
      <c r="B54" s="327" t="s">
        <v>370</v>
      </c>
      <c r="C54" s="378">
        <v>1.02</v>
      </c>
      <c r="D54" s="327" t="s">
        <v>166</v>
      </c>
      <c r="F54" s="320"/>
      <c r="G54" s="320"/>
      <c r="H54" s="178"/>
      <c r="I54" s="178"/>
    </row>
    <row r="55" spans="1:9" ht="13.5" customHeight="1" x14ac:dyDescent="0.25">
      <c r="A55" s="263"/>
      <c r="B55" s="319" t="s">
        <v>371</v>
      </c>
      <c r="C55" s="274">
        <v>19</v>
      </c>
      <c r="D55" s="319"/>
      <c r="F55" s="320"/>
      <c r="G55" s="320"/>
      <c r="H55" s="178"/>
      <c r="I55" s="178"/>
    </row>
    <row r="56" spans="1:9" ht="13.5" customHeight="1" x14ac:dyDescent="0.25">
      <c r="A56" s="263"/>
      <c r="B56" s="332" t="s">
        <v>372</v>
      </c>
      <c r="C56" s="381">
        <v>6.88</v>
      </c>
      <c r="D56" s="319" t="s">
        <v>163</v>
      </c>
      <c r="F56" s="320"/>
      <c r="G56" s="320"/>
      <c r="H56" s="178"/>
      <c r="I56" s="178"/>
    </row>
    <row r="57" spans="1:9" ht="13.5" customHeight="1" x14ac:dyDescent="0.25">
      <c r="A57" s="263"/>
      <c r="B57" s="333" t="s">
        <v>373</v>
      </c>
      <c r="C57" s="286">
        <v>1.08</v>
      </c>
      <c r="D57" s="319" t="s">
        <v>155</v>
      </c>
      <c r="F57" s="320"/>
      <c r="G57" s="320"/>
      <c r="H57" s="178"/>
      <c r="I57" s="178"/>
    </row>
    <row r="58" spans="1:9" ht="13.5" customHeight="1" x14ac:dyDescent="0.25">
      <c r="A58" s="263"/>
      <c r="B58" s="333" t="s">
        <v>374</v>
      </c>
      <c r="C58" s="286">
        <v>2</v>
      </c>
      <c r="D58" s="319"/>
      <c r="F58" s="320"/>
      <c r="G58" s="320"/>
      <c r="H58" s="178"/>
      <c r="I58" s="178"/>
    </row>
    <row r="59" spans="1:9" ht="13.5" customHeight="1" x14ac:dyDescent="0.25">
      <c r="A59" s="263"/>
      <c r="B59" s="379" t="s">
        <v>156</v>
      </c>
      <c r="C59" s="380">
        <v>0.61</v>
      </c>
      <c r="D59" s="323" t="s">
        <v>157</v>
      </c>
      <c r="F59" s="320"/>
      <c r="G59" s="320"/>
      <c r="H59" s="178"/>
      <c r="I59" s="178"/>
    </row>
    <row r="60" spans="1:9" ht="13.5" customHeight="1" x14ac:dyDescent="0.25">
      <c r="A60" s="263"/>
      <c r="B60" s="377"/>
      <c r="C60" s="286"/>
      <c r="D60" s="286"/>
      <c r="E60" s="320"/>
      <c r="F60" s="320"/>
      <c r="G60" s="320"/>
      <c r="H60" s="178"/>
      <c r="I60" s="178"/>
    </row>
    <row r="61" spans="1:9" ht="13.5" customHeight="1" x14ac:dyDescent="0.25">
      <c r="A61" s="263"/>
      <c r="B61" s="377"/>
      <c r="C61" s="286"/>
      <c r="D61" s="286"/>
      <c r="E61" s="320"/>
      <c r="F61" s="320"/>
      <c r="G61" s="320"/>
      <c r="H61" s="178"/>
      <c r="I61" s="178"/>
    </row>
    <row r="62" spans="1:9" ht="13.5" customHeight="1" x14ac:dyDescent="0.25">
      <c r="A62" s="263" t="s">
        <v>241</v>
      </c>
      <c r="B62" s="377"/>
      <c r="C62" s="286"/>
      <c r="D62" s="286"/>
      <c r="E62" s="320"/>
      <c r="F62" s="320"/>
      <c r="G62" s="320"/>
      <c r="H62" s="178"/>
      <c r="I62" s="178"/>
    </row>
    <row r="63" spans="1:9" ht="24" customHeight="1" x14ac:dyDescent="0.25">
      <c r="B63" s="126" t="s">
        <v>273</v>
      </c>
      <c r="F63" s="178"/>
      <c r="G63" s="178"/>
      <c r="H63" s="178"/>
      <c r="I63" s="178"/>
    </row>
    <row r="64" spans="1:9" ht="21" customHeight="1" x14ac:dyDescent="0.25">
      <c r="B64" s="131" t="s">
        <v>219</v>
      </c>
      <c r="F64" s="244"/>
    </row>
    <row r="65" spans="1:5" ht="14.25" customHeight="1" x14ac:dyDescent="0.25">
      <c r="B65" s="95" t="s">
        <v>377</v>
      </c>
      <c r="C65" s="165">
        <v>7.0000000000000007E-2</v>
      </c>
      <c r="D65" s="166" t="s">
        <v>255</v>
      </c>
    </row>
    <row r="66" spans="1:5" ht="15" customHeight="1" x14ac:dyDescent="0.25"/>
    <row r="67" spans="1:5" ht="15" customHeight="1" x14ac:dyDescent="0.25">
      <c r="B67" s="95" t="s">
        <v>211</v>
      </c>
      <c r="C67" s="158" t="s">
        <v>212</v>
      </c>
      <c r="D67" s="165" t="s">
        <v>149</v>
      </c>
    </row>
    <row r="68" spans="1:5" ht="15" customHeight="1" x14ac:dyDescent="0.25">
      <c r="B68" s="486" t="s">
        <v>431</v>
      </c>
      <c r="C68" s="127">
        <v>0.25</v>
      </c>
      <c r="D68" s="129" t="s">
        <v>157</v>
      </c>
    </row>
    <row r="69" spans="1:5" ht="15" customHeight="1" x14ac:dyDescent="0.25">
      <c r="B69" s="486" t="s">
        <v>432</v>
      </c>
      <c r="C69" s="127">
        <v>1.25</v>
      </c>
      <c r="D69" s="129" t="s">
        <v>441</v>
      </c>
    </row>
    <row r="70" spans="1:5" ht="15" customHeight="1" x14ac:dyDescent="0.25">
      <c r="B70" s="486" t="s">
        <v>433</v>
      </c>
      <c r="C70" s="127">
        <v>0.76</v>
      </c>
      <c r="D70" s="129" t="s">
        <v>157</v>
      </c>
    </row>
    <row r="71" spans="1:5" ht="14.25" customHeight="1" x14ac:dyDescent="0.25">
      <c r="B71" s="129" t="s">
        <v>151</v>
      </c>
      <c r="C71" s="167">
        <v>0.61</v>
      </c>
      <c r="D71" s="168" t="s">
        <v>152</v>
      </c>
    </row>
    <row r="72" spans="1:5" ht="14.25" customHeight="1" x14ac:dyDescent="0.25">
      <c r="B72" s="129" t="str">
        <f>"Batt Insulation R"&amp;C72</f>
        <v>Batt Insulation R38</v>
      </c>
      <c r="C72" s="220">
        <f>E10</f>
        <v>38</v>
      </c>
      <c r="D72" s="129"/>
    </row>
    <row r="73" spans="1:5" ht="14.25" customHeight="1" x14ac:dyDescent="0.25">
      <c r="B73" s="129" t="s">
        <v>153</v>
      </c>
      <c r="C73" s="167">
        <v>4.38</v>
      </c>
      <c r="D73" s="129" t="s">
        <v>154</v>
      </c>
    </row>
    <row r="74" spans="1:5" ht="14.25" customHeight="1" x14ac:dyDescent="0.25">
      <c r="B74" s="129" t="s">
        <v>215</v>
      </c>
      <c r="C74" s="167">
        <v>0.45</v>
      </c>
      <c r="D74" s="129" t="s">
        <v>155</v>
      </c>
    </row>
    <row r="75" spans="1:5" ht="14.25" customHeight="1" x14ac:dyDescent="0.25">
      <c r="B75" s="130" t="s">
        <v>156</v>
      </c>
      <c r="C75" s="169">
        <v>0.92</v>
      </c>
      <c r="D75" s="130" t="s">
        <v>157</v>
      </c>
    </row>
    <row r="78" spans="1:5" x14ac:dyDescent="0.25">
      <c r="B78" s="160" t="s">
        <v>241</v>
      </c>
    </row>
    <row r="79" spans="1:5" ht="36.75" customHeight="1" x14ac:dyDescent="0.25">
      <c r="B79" s="528" t="s">
        <v>272</v>
      </c>
      <c r="C79" s="528"/>
      <c r="D79" s="528"/>
      <c r="E79" s="178"/>
    </row>
    <row r="80" spans="1:5" ht="16.5" customHeight="1" x14ac:dyDescent="0.25">
      <c r="A80" s="178"/>
      <c r="B80" s="95" t="s">
        <v>222</v>
      </c>
      <c r="C80" s="98">
        <f>0.25</f>
        <v>0.25</v>
      </c>
      <c r="D80" s="158"/>
      <c r="E80" s="178"/>
    </row>
    <row r="81" spans="1:6" ht="13.5" customHeight="1" x14ac:dyDescent="0.25">
      <c r="A81" s="170"/>
      <c r="E81" s="127"/>
    </row>
    <row r="82" spans="1:6" ht="16.5" customHeight="1" x14ac:dyDescent="0.25">
      <c r="B82" s="131" t="s">
        <v>220</v>
      </c>
      <c r="E82" s="179"/>
    </row>
    <row r="83" spans="1:6" ht="16.5" customHeight="1" x14ac:dyDescent="0.25">
      <c r="B83" s="95" t="s">
        <v>211</v>
      </c>
      <c r="C83" s="158" t="s">
        <v>212</v>
      </c>
      <c r="D83" s="165" t="s">
        <v>149</v>
      </c>
      <c r="E83" s="179"/>
    </row>
    <row r="84" spans="1:6" ht="15.75" customHeight="1" x14ac:dyDescent="0.25">
      <c r="A84" s="167"/>
      <c r="B84" s="128" t="s">
        <v>162</v>
      </c>
      <c r="C84" s="180">
        <v>0.25</v>
      </c>
      <c r="D84" s="172" t="s">
        <v>157</v>
      </c>
      <c r="E84" s="181"/>
    </row>
    <row r="85" spans="1:6" ht="15.75" customHeight="1" x14ac:dyDescent="0.25">
      <c r="A85" s="167"/>
      <c r="B85" s="129" t="s">
        <v>221</v>
      </c>
      <c r="C85" s="173">
        <f>0.8/9.7</f>
        <v>8.2474226804123724E-2</v>
      </c>
      <c r="D85" s="182" t="s">
        <v>163</v>
      </c>
      <c r="E85" s="181"/>
    </row>
    <row r="86" spans="1:6" ht="15.75" customHeight="1" x14ac:dyDescent="0.25">
      <c r="A86" s="167"/>
      <c r="B86" s="129" t="s">
        <v>275</v>
      </c>
      <c r="C86" s="181">
        <v>0.79</v>
      </c>
      <c r="D86" s="183" t="s">
        <v>155</v>
      </c>
      <c r="E86" s="184"/>
    </row>
    <row r="87" spans="1:6" ht="15.75" customHeight="1" x14ac:dyDescent="0.25">
      <c r="A87" s="167"/>
      <c r="B87" s="129" t="s">
        <v>153</v>
      </c>
      <c r="C87" s="181">
        <v>4.38</v>
      </c>
      <c r="D87" s="183" t="s">
        <v>154</v>
      </c>
      <c r="E87" s="167"/>
    </row>
    <row r="88" spans="1:6" ht="15.75" customHeight="1" x14ac:dyDescent="0.25">
      <c r="A88" s="167"/>
      <c r="B88" s="129" t="str">
        <f>"Fiber Glass Batt Insulation"&amp;" R"&amp;C88</f>
        <v>Fiber Glass Batt Insulation R13</v>
      </c>
      <c r="C88" s="219">
        <f>E19</f>
        <v>13</v>
      </c>
      <c r="D88" s="185"/>
      <c r="E88" s="167"/>
    </row>
    <row r="89" spans="1:6" ht="15.75" customHeight="1" x14ac:dyDescent="0.25">
      <c r="A89" s="167"/>
      <c r="B89" s="129" t="s">
        <v>215</v>
      </c>
      <c r="C89" s="167">
        <v>0.45</v>
      </c>
      <c r="D89" s="168" t="s">
        <v>155</v>
      </c>
    </row>
    <row r="90" spans="1:6" ht="15.75" customHeight="1" x14ac:dyDescent="0.25">
      <c r="A90" s="167"/>
      <c r="B90" s="130" t="s">
        <v>167</v>
      </c>
      <c r="C90" s="169">
        <v>0.68</v>
      </c>
      <c r="D90" s="186" t="s">
        <v>157</v>
      </c>
    </row>
    <row r="91" spans="1:6" ht="14.25" customHeight="1" x14ac:dyDescent="0.25"/>
    <row r="94" spans="1:6" ht="14.5" x14ac:dyDescent="0.25">
      <c r="B94" s="326" t="s">
        <v>305</v>
      </c>
      <c r="C94" s="326"/>
      <c r="D94" s="331"/>
      <c r="E94" s="331"/>
      <c r="F94" s="331"/>
    </row>
    <row r="95" spans="1:6" ht="14.5" x14ac:dyDescent="0.25">
      <c r="B95" s="305"/>
      <c r="C95" s="305"/>
      <c r="D95" s="305"/>
      <c r="E95" s="305"/>
      <c r="F95" s="305"/>
    </row>
    <row r="96" spans="1:6" ht="36.75" customHeight="1" x14ac:dyDescent="0.25">
      <c r="A96" s="164"/>
      <c r="B96" s="528" t="s">
        <v>306</v>
      </c>
      <c r="C96" s="528"/>
      <c r="D96" s="528"/>
      <c r="E96" s="305"/>
      <c r="F96" s="305"/>
    </row>
    <row r="97" spans="1:6" ht="14.5" x14ac:dyDescent="0.25">
      <c r="A97" s="164"/>
      <c r="B97" s="331" t="s">
        <v>307</v>
      </c>
      <c r="C97" s="331"/>
      <c r="D97" s="331"/>
      <c r="E97" s="64"/>
      <c r="F97" s="64"/>
    </row>
    <row r="98" spans="1:6" ht="14.5" x14ac:dyDescent="0.25">
      <c r="A98" s="164"/>
      <c r="B98" s="316"/>
      <c r="C98" s="364" t="s">
        <v>363</v>
      </c>
      <c r="D98" s="278" t="s">
        <v>149</v>
      </c>
      <c r="E98" s="356"/>
      <c r="F98" s="64"/>
    </row>
    <row r="99" spans="1:6" ht="14.5" x14ac:dyDescent="0.25">
      <c r="A99" s="164"/>
      <c r="B99" s="316" t="s">
        <v>361</v>
      </c>
      <c r="C99" s="365">
        <v>0.8</v>
      </c>
      <c r="D99" s="368"/>
      <c r="E99" s="356"/>
      <c r="F99" s="64"/>
    </row>
    <row r="100" spans="1:6" ht="14.5" x14ac:dyDescent="0.25">
      <c r="B100" s="366" t="s">
        <v>360</v>
      </c>
      <c r="C100" s="337">
        <v>3.5</v>
      </c>
      <c r="D100" s="319" t="s">
        <v>316</v>
      </c>
      <c r="E100" s="356"/>
      <c r="F100" s="356"/>
    </row>
    <row r="101" spans="1:6" ht="14.5" x14ac:dyDescent="0.25">
      <c r="B101" s="306" t="s">
        <v>366</v>
      </c>
      <c r="C101" s="337">
        <v>3.5</v>
      </c>
      <c r="D101" s="319" t="s">
        <v>316</v>
      </c>
      <c r="E101" s="64"/>
      <c r="F101" s="64"/>
    </row>
    <row r="102" spans="1:6" ht="14.5" x14ac:dyDescent="0.25">
      <c r="B102" s="306" t="s">
        <v>313</v>
      </c>
      <c r="C102" s="337">
        <v>3.5</v>
      </c>
      <c r="D102" s="319" t="s">
        <v>316</v>
      </c>
      <c r="E102" s="64"/>
      <c r="F102" s="64"/>
    </row>
    <row r="103" spans="1:6" ht="14.5" x14ac:dyDescent="0.25">
      <c r="B103" s="306" t="s">
        <v>314</v>
      </c>
      <c r="C103" s="337">
        <v>16</v>
      </c>
      <c r="D103" s="271"/>
      <c r="E103" s="64"/>
      <c r="F103" s="64"/>
    </row>
    <row r="104" spans="1:6" ht="14.5" x14ac:dyDescent="0.25">
      <c r="B104" s="306" t="s">
        <v>315</v>
      </c>
      <c r="C104" s="289">
        <v>1.25</v>
      </c>
      <c r="D104" s="319" t="s">
        <v>316</v>
      </c>
      <c r="E104" s="64"/>
      <c r="F104" s="356"/>
    </row>
    <row r="105" spans="1:6" ht="14.5" x14ac:dyDescent="0.25">
      <c r="B105" s="322" t="s">
        <v>317</v>
      </c>
      <c r="C105" s="350">
        <v>0.02</v>
      </c>
      <c r="D105" s="323" t="s">
        <v>316</v>
      </c>
      <c r="E105" s="64"/>
      <c r="F105" s="356"/>
    </row>
    <row r="106" spans="1:6" ht="14.5" x14ac:dyDescent="0.25">
      <c r="E106" s="356"/>
      <c r="F106" s="64"/>
    </row>
    <row r="107" spans="1:6" ht="14.5" x14ac:dyDescent="0.25">
      <c r="B107" s="352" t="s">
        <v>364</v>
      </c>
      <c r="C107" s="145" t="s">
        <v>309</v>
      </c>
      <c r="D107" s="352"/>
      <c r="E107" s="348"/>
      <c r="F107" s="305"/>
    </row>
    <row r="108" spans="1:6" ht="14.5" x14ac:dyDescent="0.25">
      <c r="B108" s="316" t="s">
        <v>362</v>
      </c>
      <c r="C108" s="363">
        <f>C99/9.7</f>
        <v>8.2474226804123724E-2</v>
      </c>
      <c r="D108" s="327" t="s">
        <v>163</v>
      </c>
      <c r="E108" s="356"/>
      <c r="F108" s="305"/>
    </row>
    <row r="109" spans="1:6" ht="14.5" x14ac:dyDescent="0.25">
      <c r="B109" s="306" t="s">
        <v>275</v>
      </c>
      <c r="C109" s="272">
        <v>0.79</v>
      </c>
      <c r="D109" s="319" t="s">
        <v>155</v>
      </c>
      <c r="E109" s="348"/>
      <c r="F109" s="305"/>
    </row>
    <row r="110" spans="1:6" ht="14.5" x14ac:dyDescent="0.25">
      <c r="B110" s="306" t="s">
        <v>311</v>
      </c>
      <c r="C110" s="369">
        <f>E12</f>
        <v>13</v>
      </c>
      <c r="D110" s="362"/>
      <c r="E110" s="348"/>
      <c r="F110" s="305"/>
    </row>
    <row r="111" spans="1:6" ht="14.5" x14ac:dyDescent="0.25">
      <c r="B111" s="306" t="s">
        <v>215</v>
      </c>
      <c r="C111" s="272">
        <v>0.45</v>
      </c>
      <c r="D111" s="319" t="s">
        <v>155</v>
      </c>
      <c r="E111" s="348"/>
      <c r="F111" s="305"/>
    </row>
    <row r="112" spans="1:6" ht="14.5" x14ac:dyDescent="0.25">
      <c r="B112" s="322" t="s">
        <v>318</v>
      </c>
      <c r="C112" s="275">
        <v>1.0999999999999999E-2</v>
      </c>
      <c r="D112" s="323" t="s">
        <v>316</v>
      </c>
      <c r="E112" s="348"/>
      <c r="F112" s="305"/>
    </row>
    <row r="113" spans="2:6" ht="14.5" x14ac:dyDescent="0.25">
      <c r="B113" s="64"/>
      <c r="C113" s="348"/>
      <c r="D113" s="351"/>
      <c r="E113" s="348"/>
      <c r="F113" s="305"/>
    </row>
    <row r="114" spans="2:6" ht="14.5" x14ac:dyDescent="0.25">
      <c r="B114" s="64"/>
      <c r="C114" s="64"/>
      <c r="D114" s="64"/>
      <c r="E114" s="64"/>
      <c r="F114" s="305"/>
    </row>
    <row r="115" spans="2:6" ht="14.5" x14ac:dyDescent="0.25">
      <c r="B115" s="64"/>
      <c r="C115" s="64"/>
      <c r="D115" s="64"/>
      <c r="E115" s="64"/>
      <c r="F115" s="305"/>
    </row>
    <row r="116" spans="2:6" ht="14.5" x14ac:dyDescent="0.25">
      <c r="B116" s="200" t="s">
        <v>189</v>
      </c>
      <c r="E116" s="348"/>
      <c r="F116" s="305"/>
    </row>
    <row r="117" spans="2:6" ht="30" customHeight="1" x14ac:dyDescent="0.25">
      <c r="B117" s="522" t="s">
        <v>190</v>
      </c>
      <c r="C117" s="522"/>
      <c r="D117" s="522"/>
      <c r="E117" s="348"/>
      <c r="F117" s="305"/>
    </row>
    <row r="118" spans="2:6" ht="14.5" x14ac:dyDescent="0.25">
      <c r="C118" s="348"/>
      <c r="D118" s="348"/>
      <c r="E118" s="348"/>
      <c r="F118" s="305"/>
    </row>
    <row r="119" spans="2:6" ht="14.5" x14ac:dyDescent="0.25">
      <c r="B119" s="64"/>
      <c r="C119" s="348"/>
      <c r="D119" s="348"/>
      <c r="E119" s="348"/>
      <c r="F119" s="305"/>
    </row>
    <row r="120" spans="2:6" ht="14.5" x14ac:dyDescent="0.25">
      <c r="B120" s="64"/>
      <c r="C120" s="348"/>
      <c r="D120" s="351"/>
      <c r="E120" s="348"/>
      <c r="F120" s="305"/>
    </row>
    <row r="121" spans="2:6" ht="14.5" x14ac:dyDescent="0.25">
      <c r="B121" s="64"/>
      <c r="C121" s="348"/>
      <c r="D121" s="348"/>
      <c r="E121" s="348"/>
      <c r="F121" s="305"/>
    </row>
    <row r="136" spans="2:6" ht="14.5" x14ac:dyDescent="0.25">
      <c r="B136" s="353"/>
      <c r="C136" s="348"/>
      <c r="D136" s="351"/>
      <c r="E136" s="348"/>
      <c r="F136" s="305"/>
    </row>
    <row r="137" spans="2:6" ht="14.5" x14ac:dyDescent="0.25">
      <c r="B137" s="64"/>
      <c r="C137" s="64"/>
      <c r="D137" s="64"/>
      <c r="E137" s="64"/>
      <c r="F137" s="305"/>
    </row>
    <row r="138" spans="2:6" ht="14.5" x14ac:dyDescent="0.25">
      <c r="B138" s="64"/>
      <c r="C138" s="64"/>
      <c r="D138" s="64"/>
      <c r="E138" s="64"/>
      <c r="F138" s="305"/>
    </row>
    <row r="139" spans="2:6" ht="14.5" x14ac:dyDescent="0.25">
      <c r="B139" s="348"/>
      <c r="C139" s="348"/>
      <c r="D139" s="348"/>
      <c r="E139" s="348"/>
      <c r="F139" s="305"/>
    </row>
    <row r="140" spans="2:6" ht="14.5" x14ac:dyDescent="0.25">
      <c r="B140" s="357"/>
      <c r="C140" s="348"/>
      <c r="D140" s="354"/>
      <c r="E140" s="348"/>
      <c r="F140" s="305"/>
    </row>
    <row r="141" spans="2:6" ht="14.5" x14ac:dyDescent="0.25">
      <c r="B141" s="357"/>
      <c r="C141" s="348"/>
      <c r="D141" s="349"/>
      <c r="E141" s="348"/>
      <c r="F141" s="305"/>
    </row>
    <row r="142" spans="2:6" ht="14.5" x14ac:dyDescent="0.25">
      <c r="B142" s="357"/>
      <c r="C142" s="348"/>
      <c r="D142" s="354"/>
      <c r="E142" s="348"/>
      <c r="F142" s="305"/>
    </row>
    <row r="143" spans="2:6" ht="14.5" x14ac:dyDescent="0.25">
      <c r="B143" s="357"/>
      <c r="C143" s="348"/>
      <c r="D143" s="354"/>
      <c r="E143" s="348"/>
      <c r="F143" s="305"/>
    </row>
    <row r="144" spans="2:6" ht="14.5" x14ac:dyDescent="0.25">
      <c r="B144" s="357"/>
      <c r="C144" s="348"/>
      <c r="D144" s="358"/>
      <c r="E144" s="348"/>
      <c r="F144" s="305"/>
    </row>
    <row r="145" spans="2:6" ht="14.5" x14ac:dyDescent="0.25">
      <c r="B145" s="64"/>
      <c r="C145" s="348"/>
      <c r="D145" s="358"/>
      <c r="E145" s="348"/>
      <c r="F145" s="305"/>
    </row>
    <row r="146" spans="2:6" ht="14.5" x14ac:dyDescent="0.25">
      <c r="B146" s="64"/>
      <c r="C146" s="348"/>
      <c r="D146" s="358"/>
      <c r="E146" s="348"/>
      <c r="F146" s="305"/>
    </row>
    <row r="147" spans="2:6" ht="14.5" x14ac:dyDescent="0.25">
      <c r="B147" s="64"/>
      <c r="C147" s="64"/>
      <c r="D147" s="64"/>
      <c r="E147" s="64"/>
      <c r="F147" s="305"/>
    </row>
    <row r="148" spans="2:6" ht="14.5" x14ac:dyDescent="0.25">
      <c r="B148" s="348"/>
      <c r="C148" s="348"/>
      <c r="D148" s="348"/>
      <c r="E148" s="348"/>
      <c r="F148" s="305"/>
    </row>
    <row r="149" spans="2:6" ht="14.5" x14ac:dyDescent="0.25">
      <c r="B149" s="359"/>
      <c r="C149" s="360"/>
      <c r="D149" s="355"/>
      <c r="E149" s="348"/>
      <c r="F149" s="305"/>
    </row>
    <row r="150" spans="2:6" ht="14.5" x14ac:dyDescent="0.25">
      <c r="B150" s="359"/>
      <c r="C150" s="360"/>
      <c r="D150" s="355"/>
      <c r="E150" s="348"/>
      <c r="F150" s="305"/>
    </row>
    <row r="151" spans="2:6" ht="14.5" x14ac:dyDescent="0.25">
      <c r="B151" s="64"/>
      <c r="C151" s="361"/>
      <c r="D151" s="349"/>
      <c r="E151" s="348"/>
      <c r="F151" s="305"/>
    </row>
    <row r="152" spans="2:6" ht="14.5" x14ac:dyDescent="0.25">
      <c r="B152" s="64"/>
      <c r="C152" s="361"/>
      <c r="D152" s="349"/>
      <c r="E152" s="348"/>
      <c r="F152" s="305"/>
    </row>
    <row r="153" spans="2:6" ht="14.5" x14ac:dyDescent="0.25">
      <c r="B153" s="64"/>
      <c r="C153" s="64"/>
      <c r="D153" s="349"/>
      <c r="E153" s="348"/>
      <c r="F153" s="305"/>
    </row>
    <row r="154" spans="2:6" ht="14.5" x14ac:dyDescent="0.25">
      <c r="B154" s="64"/>
      <c r="C154" s="64"/>
      <c r="D154" s="349"/>
      <c r="E154" s="348"/>
      <c r="F154" s="305"/>
    </row>
    <row r="155" spans="2:6" ht="14.5" x14ac:dyDescent="0.25">
      <c r="B155" s="64"/>
      <c r="C155" s="349"/>
      <c r="D155" s="358"/>
      <c r="E155" s="348"/>
      <c r="F155" s="305"/>
    </row>
    <row r="156" spans="2:6" ht="14.5" x14ac:dyDescent="0.25">
      <c r="B156" s="64"/>
      <c r="C156" s="348"/>
      <c r="D156" s="348"/>
      <c r="E156" s="348"/>
      <c r="F156" s="305"/>
    </row>
    <row r="157" spans="2:6" ht="14.5" x14ac:dyDescent="0.25">
      <c r="B157" s="64"/>
      <c r="C157" s="349"/>
      <c r="D157" s="348"/>
      <c r="E157" s="348"/>
      <c r="F157" s="305"/>
    </row>
    <row r="158" spans="2:6" ht="14.5" x14ac:dyDescent="0.25">
      <c r="B158" s="64"/>
      <c r="C158" s="348"/>
      <c r="D158" s="348"/>
      <c r="E158" s="64"/>
      <c r="F158" s="305"/>
    </row>
    <row r="159" spans="2:6" ht="14.5" x14ac:dyDescent="0.25">
      <c r="B159" s="64"/>
      <c r="C159" s="349"/>
      <c r="D159" s="348"/>
      <c r="E159" s="64"/>
      <c r="F159" s="305"/>
    </row>
    <row r="160" spans="2:6" x14ac:dyDescent="0.25">
      <c r="B160" s="356"/>
      <c r="C160" s="356"/>
      <c r="D160" s="356"/>
      <c r="E160" s="356"/>
    </row>
  </sheetData>
  <sheetProtection password="BDDF" sheet="1" objects="1" scenarios="1"/>
  <mergeCells count="4">
    <mergeCell ref="B79:D79"/>
    <mergeCell ref="B117:D117"/>
    <mergeCell ref="B96:D96"/>
    <mergeCell ref="B49:D49"/>
  </mergeCells>
  <pageMargins left="0.7" right="0.7" top="0.75" bottom="0.75" header="0.3" footer="0.3"/>
  <pageSetup scale="55" orientation="portrait" r:id="rId1"/>
  <rowBreaks count="1" manualBreakCount="1">
    <brk id="36"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G121"/>
  <sheetViews>
    <sheetView topLeftCell="A49" zoomScale="85" zoomScaleNormal="85" workbookViewId="0">
      <selection activeCell="J62" sqref="J62"/>
    </sheetView>
  </sheetViews>
  <sheetFormatPr defaultColWidth="9.1796875" defaultRowHeight="12.5" x14ac:dyDescent="0.25"/>
  <cols>
    <col min="1" max="1" width="6.1796875" style="160" customWidth="1"/>
    <col min="2" max="2" width="48.7265625" style="160" customWidth="1"/>
    <col min="3" max="3" width="25" style="160" customWidth="1"/>
    <col min="4" max="4" width="34.453125" style="160" customWidth="1"/>
    <col min="5" max="5" width="13.7265625" style="160" customWidth="1"/>
    <col min="6" max="6" width="14.7265625" style="160" customWidth="1"/>
    <col min="7" max="7" width="11.81640625" style="160" customWidth="1"/>
    <col min="8" max="16384" width="9.1796875" style="160"/>
  </cols>
  <sheetData>
    <row r="2" spans="1:7" ht="13" x14ac:dyDescent="0.25">
      <c r="B2" s="161" t="s">
        <v>254</v>
      </c>
    </row>
    <row r="3" spans="1:7" ht="13" x14ac:dyDescent="0.25">
      <c r="B3" s="161" t="s">
        <v>284</v>
      </c>
    </row>
    <row r="4" spans="1:7" ht="14.5" x14ac:dyDescent="0.35">
      <c r="B4" s="4" t="s">
        <v>111</v>
      </c>
      <c r="D4" s="161" t="s">
        <v>283</v>
      </c>
    </row>
    <row r="5" spans="1:7" ht="15" customHeight="1" x14ac:dyDescent="0.25">
      <c r="B5" s="161"/>
    </row>
    <row r="6" spans="1:7" ht="47.25" customHeight="1" x14ac:dyDescent="0.25">
      <c r="B6" s="162" t="s">
        <v>191</v>
      </c>
      <c r="C6" s="163" t="s">
        <v>192</v>
      </c>
      <c r="D6" s="163" t="s">
        <v>193</v>
      </c>
      <c r="E6" s="163" t="s">
        <v>209</v>
      </c>
      <c r="F6" s="163" t="s">
        <v>210</v>
      </c>
      <c r="G6" s="163" t="s">
        <v>218</v>
      </c>
    </row>
    <row r="7" spans="1:7" ht="14.25" customHeight="1" x14ac:dyDescent="0.25">
      <c r="B7" s="149" t="s">
        <v>194</v>
      </c>
      <c r="C7" s="149" t="s">
        <v>244</v>
      </c>
      <c r="D7" s="149" t="s">
        <v>195</v>
      </c>
      <c r="E7" s="96"/>
      <c r="F7" s="96"/>
      <c r="G7" s="96">
        <v>2000</v>
      </c>
    </row>
    <row r="8" spans="1:7" ht="14.25" customHeight="1" x14ac:dyDescent="0.25">
      <c r="A8" s="164"/>
      <c r="B8" s="149" t="s">
        <v>0</v>
      </c>
      <c r="C8" s="149" t="s">
        <v>196</v>
      </c>
      <c r="D8" s="149" t="s">
        <v>197</v>
      </c>
      <c r="E8" s="96"/>
      <c r="F8" s="96"/>
      <c r="G8" s="96"/>
    </row>
    <row r="9" spans="1:7" ht="14.25" customHeight="1" x14ac:dyDescent="0.25">
      <c r="A9" s="164"/>
      <c r="B9" s="149" t="s">
        <v>1</v>
      </c>
      <c r="C9" s="149" t="s">
        <v>245</v>
      </c>
      <c r="D9" s="149" t="s">
        <v>295</v>
      </c>
      <c r="E9" s="96"/>
      <c r="F9" s="96">
        <v>0.75</v>
      </c>
      <c r="G9" s="96"/>
    </row>
    <row r="10" spans="1:7" ht="14.25" customHeight="1" x14ac:dyDescent="0.25">
      <c r="A10" s="164"/>
      <c r="B10" s="149" t="s">
        <v>246</v>
      </c>
      <c r="C10" s="149" t="s">
        <v>244</v>
      </c>
      <c r="D10" s="149" t="s">
        <v>258</v>
      </c>
      <c r="E10" s="150">
        <v>30</v>
      </c>
      <c r="F10" s="96"/>
      <c r="G10" s="150">
        <v>2000</v>
      </c>
    </row>
    <row r="11" spans="1:7" ht="14.25" customHeight="1" x14ac:dyDescent="0.25">
      <c r="A11" s="164"/>
      <c r="B11" s="149" t="s">
        <v>2</v>
      </c>
      <c r="C11" s="149" t="s">
        <v>247</v>
      </c>
      <c r="D11" s="149" t="s">
        <v>297</v>
      </c>
      <c r="E11" s="96">
        <v>0.75</v>
      </c>
      <c r="F11" s="96">
        <v>0.25</v>
      </c>
      <c r="G11" s="96">
        <v>10</v>
      </c>
    </row>
    <row r="12" spans="1:7" ht="14.25" customHeight="1" x14ac:dyDescent="0.25">
      <c r="A12" s="164"/>
      <c r="B12" s="151" t="s">
        <v>418</v>
      </c>
      <c r="C12" s="151" t="s">
        <v>198</v>
      </c>
      <c r="D12" s="151" t="s">
        <v>290</v>
      </c>
      <c r="E12" s="152">
        <v>4</v>
      </c>
      <c r="F12" s="153"/>
      <c r="G12" s="154">
        <f>50*10</f>
        <v>500</v>
      </c>
    </row>
    <row r="13" spans="1:7" ht="14.25" customHeight="1" x14ac:dyDescent="0.25">
      <c r="A13" s="164"/>
      <c r="B13" s="149" t="s">
        <v>3</v>
      </c>
      <c r="C13" s="149" t="s">
        <v>248</v>
      </c>
      <c r="D13" s="149" t="s">
        <v>77</v>
      </c>
      <c r="E13" s="96">
        <v>0.65</v>
      </c>
      <c r="F13" s="150">
        <v>0</v>
      </c>
      <c r="G13" s="96">
        <v>24</v>
      </c>
    </row>
    <row r="14" spans="1:7" ht="14.25" customHeight="1" x14ac:dyDescent="0.25">
      <c r="A14" s="164"/>
      <c r="B14" s="149" t="s">
        <v>4</v>
      </c>
      <c r="C14" s="149" t="s">
        <v>249</v>
      </c>
      <c r="D14" s="149" t="s">
        <v>297</v>
      </c>
      <c r="E14" s="96">
        <v>0.65</v>
      </c>
      <c r="F14" s="96">
        <v>0.25</v>
      </c>
      <c r="G14" s="96">
        <v>75</v>
      </c>
    </row>
    <row r="15" spans="1:7" ht="14.25" customHeight="1" x14ac:dyDescent="0.25">
      <c r="A15" s="164"/>
      <c r="B15" s="151" t="s">
        <v>419</v>
      </c>
      <c r="C15" s="151" t="s">
        <v>199</v>
      </c>
      <c r="D15" s="151" t="s">
        <v>269</v>
      </c>
      <c r="E15" s="155">
        <f>E12</f>
        <v>4</v>
      </c>
      <c r="F15" s="153"/>
      <c r="G15" s="155">
        <f>40*10</f>
        <v>400</v>
      </c>
    </row>
    <row r="16" spans="1:7" ht="14.25" customHeight="1" x14ac:dyDescent="0.25">
      <c r="A16" s="164"/>
      <c r="B16" s="149" t="s">
        <v>6</v>
      </c>
      <c r="C16" s="149" t="s">
        <v>249</v>
      </c>
      <c r="D16" s="149" t="s">
        <v>297</v>
      </c>
      <c r="E16" s="96">
        <v>0.65</v>
      </c>
      <c r="F16" s="156">
        <v>0.25</v>
      </c>
      <c r="G16" s="96">
        <v>75</v>
      </c>
    </row>
    <row r="17" spans="1:7" ht="14.25" customHeight="1" x14ac:dyDescent="0.25">
      <c r="A17" s="164"/>
      <c r="B17" s="151" t="s">
        <v>420</v>
      </c>
      <c r="C17" s="151" t="s">
        <v>199</v>
      </c>
      <c r="D17" s="151" t="s">
        <v>290</v>
      </c>
      <c r="E17" s="155">
        <f>E12</f>
        <v>4</v>
      </c>
      <c r="F17" s="153"/>
      <c r="G17" s="155">
        <f>40*10</f>
        <v>400</v>
      </c>
    </row>
    <row r="18" spans="1:7" ht="14.25" customHeight="1" x14ac:dyDescent="0.25">
      <c r="A18" s="164"/>
      <c r="B18" s="149" t="s">
        <v>8</v>
      </c>
      <c r="C18" s="149" t="s">
        <v>250</v>
      </c>
      <c r="D18" s="149" t="s">
        <v>297</v>
      </c>
      <c r="E18" s="96">
        <v>0.65</v>
      </c>
      <c r="F18" s="156">
        <v>0.25</v>
      </c>
      <c r="G18" s="96">
        <v>15</v>
      </c>
    </row>
    <row r="19" spans="1:7" ht="14.25" customHeight="1" x14ac:dyDescent="0.25">
      <c r="A19" s="164"/>
      <c r="B19" s="149" t="s">
        <v>279</v>
      </c>
      <c r="C19" s="149" t="s">
        <v>200</v>
      </c>
      <c r="D19" s="149" t="s">
        <v>294</v>
      </c>
      <c r="E19" s="150">
        <v>13</v>
      </c>
      <c r="F19" s="96"/>
      <c r="G19" s="96">
        <f>10*10</f>
        <v>100</v>
      </c>
    </row>
    <row r="20" spans="1:7" ht="14.25" customHeight="1" x14ac:dyDescent="0.25">
      <c r="A20" s="164"/>
      <c r="B20" s="149" t="s">
        <v>9</v>
      </c>
      <c r="C20" s="149" t="s">
        <v>251</v>
      </c>
      <c r="D20" s="149" t="s">
        <v>297</v>
      </c>
      <c r="E20" s="96">
        <v>0.65</v>
      </c>
      <c r="F20" s="156">
        <v>0.25</v>
      </c>
      <c r="G20" s="96">
        <v>60</v>
      </c>
    </row>
    <row r="21" spans="1:7" ht="14.25" customHeight="1" x14ac:dyDescent="0.25">
      <c r="A21" s="164"/>
      <c r="B21" s="151" t="s">
        <v>421</v>
      </c>
      <c r="C21" s="151" t="s">
        <v>199</v>
      </c>
      <c r="D21" s="151" t="s">
        <v>290</v>
      </c>
      <c r="E21" s="155">
        <f>E12</f>
        <v>4</v>
      </c>
      <c r="F21" s="153"/>
      <c r="G21" s="155">
        <f>40*10</f>
        <v>400</v>
      </c>
    </row>
    <row r="22" spans="1:7" ht="14.25" customHeight="1" x14ac:dyDescent="0.25">
      <c r="A22" s="164"/>
      <c r="B22" s="149" t="s">
        <v>11</v>
      </c>
      <c r="C22" s="149" t="s">
        <v>249</v>
      </c>
      <c r="D22" s="149" t="s">
        <v>297</v>
      </c>
      <c r="E22" s="96">
        <v>0.65</v>
      </c>
      <c r="F22" s="156">
        <v>0.25</v>
      </c>
      <c r="G22" s="96">
        <v>75</v>
      </c>
    </row>
    <row r="23" spans="1:7" ht="14.25" customHeight="1" x14ac:dyDescent="0.25">
      <c r="A23" s="164"/>
      <c r="B23" s="157" t="s">
        <v>12</v>
      </c>
      <c r="C23" s="149" t="s">
        <v>286</v>
      </c>
      <c r="D23" s="157" t="s">
        <v>291</v>
      </c>
      <c r="E23" s="218">
        <v>5</v>
      </c>
      <c r="F23" s="158"/>
      <c r="G23" s="158"/>
    </row>
    <row r="24" spans="1:7" ht="14.25" customHeight="1" x14ac:dyDescent="0.25">
      <c r="A24" s="164"/>
      <c r="B24" s="149" t="s">
        <v>13</v>
      </c>
      <c r="C24" s="149" t="s">
        <v>201</v>
      </c>
      <c r="D24" s="149" t="s">
        <v>292</v>
      </c>
      <c r="E24" s="96">
        <v>8.1999999999999993</v>
      </c>
      <c r="F24" s="96"/>
      <c r="G24" s="96"/>
    </row>
    <row r="25" spans="1:7" ht="14.25" customHeight="1" x14ac:dyDescent="0.25">
      <c r="A25" s="164"/>
      <c r="B25" s="149" t="s">
        <v>14</v>
      </c>
      <c r="C25" s="149" t="s">
        <v>201</v>
      </c>
      <c r="D25" s="149" t="s">
        <v>293</v>
      </c>
      <c r="E25" s="150">
        <v>14</v>
      </c>
      <c r="F25" s="96"/>
      <c r="G25" s="96"/>
    </row>
    <row r="26" spans="1:7" ht="14.25" customHeight="1" x14ac:dyDescent="0.25">
      <c r="A26" s="164"/>
      <c r="B26" s="151" t="s">
        <v>15</v>
      </c>
      <c r="C26" s="151" t="s">
        <v>202</v>
      </c>
      <c r="D26" s="151" t="s">
        <v>415</v>
      </c>
      <c r="E26" s="155">
        <v>6</v>
      </c>
      <c r="F26" s="153"/>
      <c r="G26" s="153"/>
    </row>
    <row r="27" spans="1:7" ht="14.25" customHeight="1" x14ac:dyDescent="0.25">
      <c r="A27" s="164"/>
      <c r="B27" s="157" t="s">
        <v>281</v>
      </c>
      <c r="C27" s="149" t="s">
        <v>203</v>
      </c>
      <c r="D27" s="149" t="s">
        <v>289</v>
      </c>
      <c r="E27" s="150">
        <v>6</v>
      </c>
      <c r="F27" s="96"/>
      <c r="G27" s="96"/>
    </row>
    <row r="28" spans="1:7" ht="18" customHeight="1" x14ac:dyDescent="0.25">
      <c r="A28" s="164"/>
      <c r="B28" s="157" t="s">
        <v>17</v>
      </c>
      <c r="C28" s="149"/>
      <c r="D28" s="149" t="s">
        <v>287</v>
      </c>
      <c r="E28" s="96">
        <v>0.04</v>
      </c>
      <c r="F28" s="96"/>
      <c r="G28" s="96"/>
    </row>
    <row r="29" spans="1:7" ht="14.25" customHeight="1" x14ac:dyDescent="0.25">
      <c r="A29" s="164"/>
      <c r="B29" s="157" t="s">
        <v>282</v>
      </c>
      <c r="C29" s="149" t="s">
        <v>201</v>
      </c>
      <c r="D29" s="149" t="s">
        <v>299</v>
      </c>
      <c r="E29" s="254">
        <v>0.02</v>
      </c>
      <c r="F29" s="96"/>
      <c r="G29" s="96"/>
    </row>
    <row r="30" spans="1:7" ht="14.25" customHeight="1" x14ac:dyDescent="0.25">
      <c r="A30" s="164"/>
      <c r="B30" s="149" t="s">
        <v>19</v>
      </c>
      <c r="C30" s="149" t="s">
        <v>204</v>
      </c>
      <c r="D30" s="149" t="s">
        <v>205</v>
      </c>
      <c r="E30" s="96" t="s">
        <v>205</v>
      </c>
      <c r="F30" s="96"/>
      <c r="G30" s="96"/>
    </row>
    <row r="31" spans="1:7" ht="14.25" customHeight="1" x14ac:dyDescent="0.25">
      <c r="A31" s="164"/>
      <c r="B31" s="149" t="s">
        <v>20</v>
      </c>
      <c r="C31" s="149" t="s">
        <v>206</v>
      </c>
      <c r="D31" s="149" t="s">
        <v>288</v>
      </c>
      <c r="E31" s="96">
        <v>0.95</v>
      </c>
      <c r="F31" s="96"/>
      <c r="G31" s="96"/>
    </row>
    <row r="32" spans="1:7" ht="14.25" customHeight="1" x14ac:dyDescent="0.25">
      <c r="A32" s="164"/>
      <c r="B32" s="149" t="s">
        <v>21</v>
      </c>
      <c r="C32" s="149" t="s">
        <v>207</v>
      </c>
      <c r="D32" s="149" t="s">
        <v>289</v>
      </c>
      <c r="E32" s="96">
        <v>3</v>
      </c>
      <c r="F32" s="96"/>
      <c r="G32" s="96"/>
    </row>
    <row r="33" spans="1:7" ht="14.25" customHeight="1" x14ac:dyDescent="0.25">
      <c r="A33" s="164"/>
      <c r="B33" s="149" t="s">
        <v>22</v>
      </c>
      <c r="C33" s="149" t="s">
        <v>195</v>
      </c>
      <c r="D33" s="149" t="s">
        <v>195</v>
      </c>
      <c r="E33" s="96" t="s">
        <v>205</v>
      </c>
      <c r="F33" s="96"/>
      <c r="G33" s="96"/>
    </row>
    <row r="34" spans="1:7" ht="14.25" customHeight="1" x14ac:dyDescent="0.25">
      <c r="A34" s="164"/>
      <c r="B34" s="149" t="s">
        <v>23</v>
      </c>
      <c r="C34" s="149" t="s">
        <v>208</v>
      </c>
      <c r="D34" s="149" t="s">
        <v>296</v>
      </c>
      <c r="E34" s="96">
        <f>75/100</f>
        <v>0.75</v>
      </c>
      <c r="F34" s="96"/>
      <c r="G34" s="96"/>
    </row>
    <row r="35" spans="1:7" ht="14.25" customHeight="1" x14ac:dyDescent="0.25">
      <c r="A35" s="164"/>
      <c r="B35" s="149" t="s">
        <v>24</v>
      </c>
      <c r="C35" s="149" t="s">
        <v>205</v>
      </c>
      <c r="D35" s="149" t="s">
        <v>195</v>
      </c>
      <c r="E35" s="96" t="s">
        <v>205</v>
      </c>
      <c r="F35" s="96"/>
      <c r="G35" s="96"/>
    </row>
    <row r="36" spans="1:7" ht="13.5" customHeight="1" x14ac:dyDescent="0.25">
      <c r="B36" s="159"/>
      <c r="C36" s="159"/>
      <c r="D36" s="159"/>
    </row>
    <row r="37" spans="1:7" ht="13.5" customHeight="1" thickBot="1" x14ac:dyDescent="0.3">
      <c r="B37" s="443" t="s">
        <v>401</v>
      </c>
      <c r="C37" s="440"/>
      <c r="D37" s="440"/>
      <c r="E37" s="441"/>
      <c r="F37" s="441"/>
      <c r="G37" s="442"/>
    </row>
    <row r="38" spans="1:7" ht="13.5" customHeight="1" thickTop="1" x14ac:dyDescent="0.25">
      <c r="B38" s="415" t="s">
        <v>114</v>
      </c>
      <c r="C38" s="430"/>
      <c r="D38" s="430"/>
      <c r="E38" s="430"/>
      <c r="F38" s="430"/>
      <c r="G38" s="430"/>
    </row>
    <row r="39" spans="1:7" ht="13.5" customHeight="1" x14ac:dyDescent="0.25">
      <c r="B39" s="157" t="s">
        <v>115</v>
      </c>
      <c r="C39" s="428"/>
      <c r="D39" s="428"/>
      <c r="E39" s="428"/>
      <c r="F39" s="428"/>
      <c r="G39" s="428"/>
    </row>
    <row r="40" spans="1:7" ht="13.5" customHeight="1" x14ac:dyDescent="0.25">
      <c r="B40" s="157" t="s">
        <v>71</v>
      </c>
      <c r="C40" s="428"/>
      <c r="D40" s="428"/>
      <c r="E40" s="428"/>
      <c r="F40" s="428"/>
      <c r="G40" s="428"/>
    </row>
    <row r="41" spans="1:7" ht="13.5" customHeight="1" x14ac:dyDescent="0.25">
      <c r="B41" s="157" t="s">
        <v>116</v>
      </c>
      <c r="C41" s="428"/>
      <c r="D41" s="428"/>
      <c r="E41" s="428"/>
      <c r="F41" s="428"/>
      <c r="G41" s="428"/>
    </row>
    <row r="42" spans="1:7" ht="13.5" customHeight="1" x14ac:dyDescent="0.25">
      <c r="B42" s="157" t="s">
        <v>117</v>
      </c>
      <c r="C42" s="428"/>
      <c r="D42" s="428"/>
      <c r="E42" s="428"/>
      <c r="F42" s="428"/>
      <c r="G42" s="428"/>
    </row>
    <row r="43" spans="1:7" ht="13.5" customHeight="1" x14ac:dyDescent="0.25">
      <c r="B43" s="157" t="s">
        <v>78</v>
      </c>
      <c r="C43" s="428"/>
      <c r="D43" s="428"/>
      <c r="E43" s="428"/>
      <c r="F43" s="428"/>
      <c r="G43" s="428"/>
    </row>
    <row r="44" spans="1:7" ht="13.5" customHeight="1" x14ac:dyDescent="0.25">
      <c r="B44" s="157" t="s">
        <v>72</v>
      </c>
      <c r="C44" s="428"/>
      <c r="D44" s="428"/>
      <c r="E44" s="428"/>
      <c r="F44" s="428"/>
      <c r="G44" s="428"/>
    </row>
    <row r="45" spans="1:7" ht="13.5" customHeight="1" thickBot="1" x14ac:dyDescent="0.3">
      <c r="B45" s="414" t="s">
        <v>92</v>
      </c>
      <c r="C45" s="429"/>
      <c r="D45" s="429"/>
      <c r="E45" s="429"/>
      <c r="F45" s="429"/>
      <c r="G45" s="429"/>
    </row>
    <row r="46" spans="1:7" ht="13.5" customHeight="1" thickTop="1" x14ac:dyDescent="0.25">
      <c r="B46" s="159"/>
      <c r="C46" s="159"/>
      <c r="D46" s="159"/>
    </row>
    <row r="47" spans="1:7" ht="13.5" customHeight="1" x14ac:dyDescent="0.25">
      <c r="B47" s="160" t="s">
        <v>241</v>
      </c>
    </row>
    <row r="48" spans="1:7" ht="30.75" customHeight="1" x14ac:dyDescent="0.25">
      <c r="B48" s="126" t="s">
        <v>391</v>
      </c>
    </row>
    <row r="49" spans="2:4" ht="21" customHeight="1" x14ac:dyDescent="0.25">
      <c r="B49" s="131" t="s">
        <v>219</v>
      </c>
    </row>
    <row r="50" spans="2:4" ht="14.25" customHeight="1" x14ac:dyDescent="0.25">
      <c r="B50" s="95" t="s">
        <v>217</v>
      </c>
      <c r="C50" s="165">
        <v>7.0000000000000007E-2</v>
      </c>
      <c r="D50" s="166" t="s">
        <v>255</v>
      </c>
    </row>
    <row r="51" spans="2:4" ht="15" customHeight="1" x14ac:dyDescent="0.25"/>
    <row r="52" spans="2:4" ht="15" customHeight="1" x14ac:dyDescent="0.25">
      <c r="B52" s="95" t="s">
        <v>211</v>
      </c>
      <c r="C52" s="96" t="s">
        <v>212</v>
      </c>
      <c r="D52" s="165" t="s">
        <v>149</v>
      </c>
    </row>
    <row r="53" spans="2:4" ht="15" customHeight="1" x14ac:dyDescent="0.25">
      <c r="B53" s="486" t="s">
        <v>431</v>
      </c>
      <c r="C53" s="127">
        <v>0.25</v>
      </c>
      <c r="D53" s="129" t="s">
        <v>157</v>
      </c>
    </row>
    <row r="54" spans="2:4" ht="15" customHeight="1" x14ac:dyDescent="0.25">
      <c r="B54" s="486" t="s">
        <v>432</v>
      </c>
      <c r="C54" s="127">
        <v>1.25</v>
      </c>
      <c r="D54" s="129" t="s">
        <v>441</v>
      </c>
    </row>
    <row r="55" spans="2:4" ht="15" customHeight="1" x14ac:dyDescent="0.25">
      <c r="B55" s="486" t="s">
        <v>433</v>
      </c>
      <c r="C55" s="127">
        <v>0.76</v>
      </c>
      <c r="D55" s="129" t="s">
        <v>157</v>
      </c>
    </row>
    <row r="56" spans="2:4" ht="14.25" customHeight="1" x14ac:dyDescent="0.25">
      <c r="B56" s="129" t="s">
        <v>151</v>
      </c>
      <c r="C56" s="167">
        <v>0.61</v>
      </c>
      <c r="D56" s="168" t="s">
        <v>152</v>
      </c>
    </row>
    <row r="57" spans="2:4" ht="14.25" customHeight="1" x14ac:dyDescent="0.25">
      <c r="B57" s="129" t="str">
        <f>"Batt Insulation R"&amp;C57</f>
        <v>Batt Insulation R30</v>
      </c>
      <c r="C57" s="220">
        <f>E10</f>
        <v>30</v>
      </c>
      <c r="D57" s="129"/>
    </row>
    <row r="58" spans="2:4" ht="14.25" customHeight="1" x14ac:dyDescent="0.25">
      <c r="B58" s="129" t="s">
        <v>153</v>
      </c>
      <c r="C58" s="167">
        <v>4.38</v>
      </c>
      <c r="D58" s="129" t="s">
        <v>154</v>
      </c>
    </row>
    <row r="59" spans="2:4" ht="14.25" customHeight="1" x14ac:dyDescent="0.25">
      <c r="B59" s="129" t="s">
        <v>215</v>
      </c>
      <c r="C59" s="167">
        <v>0.45</v>
      </c>
      <c r="D59" s="129" t="s">
        <v>155</v>
      </c>
    </row>
    <row r="60" spans="2:4" ht="14.25" customHeight="1" x14ac:dyDescent="0.25">
      <c r="B60" s="130" t="s">
        <v>156</v>
      </c>
      <c r="C60" s="169">
        <v>0.92</v>
      </c>
      <c r="D60" s="130" t="s">
        <v>157</v>
      </c>
    </row>
    <row r="63" spans="2:4" x14ac:dyDescent="0.25">
      <c r="B63" s="160" t="s">
        <v>241</v>
      </c>
    </row>
    <row r="64" spans="2:4" x14ac:dyDescent="0.25">
      <c r="B64" s="160" t="s">
        <v>216</v>
      </c>
    </row>
    <row r="65" spans="1:6" ht="42.75" customHeight="1" x14ac:dyDescent="0.25">
      <c r="B65" s="530" t="s">
        <v>252</v>
      </c>
      <c r="C65" s="530"/>
      <c r="D65" s="530"/>
    </row>
    <row r="66" spans="1:6" ht="27.75" customHeight="1" x14ac:dyDescent="0.25">
      <c r="A66" s="170"/>
      <c r="B66" s="95" t="s">
        <v>211</v>
      </c>
      <c r="C66" s="96" t="s">
        <v>212</v>
      </c>
      <c r="D66" s="171" t="s">
        <v>149</v>
      </c>
      <c r="E66" s="170"/>
      <c r="F66" s="170"/>
    </row>
    <row r="67" spans="1:6" ht="14.25" customHeight="1" x14ac:dyDescent="0.25">
      <c r="A67" s="167"/>
      <c r="B67" s="128" t="s">
        <v>162</v>
      </c>
      <c r="C67" s="171">
        <v>0.25</v>
      </c>
      <c r="D67" s="172" t="s">
        <v>157</v>
      </c>
      <c r="E67" s="170"/>
      <c r="F67" s="170"/>
    </row>
    <row r="68" spans="1:6" ht="14.25" customHeight="1" x14ac:dyDescent="0.25">
      <c r="A68" s="167"/>
      <c r="B68" s="129" t="s">
        <v>221</v>
      </c>
      <c r="C68" s="173">
        <f>0.8/9.7</f>
        <v>8.2474226804123724E-2</v>
      </c>
      <c r="D68" s="129" t="s">
        <v>163</v>
      </c>
      <c r="E68" s="170"/>
      <c r="F68" s="170"/>
    </row>
    <row r="69" spans="1:6" ht="14.25" customHeight="1" x14ac:dyDescent="0.25">
      <c r="A69" s="167"/>
      <c r="B69" s="129" t="s">
        <v>164</v>
      </c>
      <c r="C69" s="174">
        <v>0</v>
      </c>
      <c r="D69" s="129"/>
      <c r="E69" s="170"/>
      <c r="F69" s="170"/>
    </row>
    <row r="70" spans="1:6" ht="14.25" customHeight="1" x14ac:dyDescent="0.25">
      <c r="A70" s="167"/>
      <c r="B70" s="129" t="s">
        <v>265</v>
      </c>
      <c r="C70" s="175">
        <f>C109</f>
        <v>2.5810069008782937</v>
      </c>
      <c r="D70" s="129" t="s">
        <v>165</v>
      </c>
      <c r="E70" s="170"/>
      <c r="F70" s="170"/>
    </row>
    <row r="71" spans="1:6" ht="14.25" customHeight="1" x14ac:dyDescent="0.25">
      <c r="A71" s="167"/>
      <c r="B71" s="129" t="str">
        <f>"0.75 Inch"&amp;" R"&amp;C71&amp;" "&amp;"Insulation Board"</f>
        <v>0.75 Inch R4 Insulation Board</v>
      </c>
      <c r="C71" s="175">
        <f>E12</f>
        <v>4</v>
      </c>
      <c r="D71" s="129"/>
      <c r="E71" s="170"/>
      <c r="F71" s="170"/>
    </row>
    <row r="72" spans="1:6" ht="14.25" customHeight="1" x14ac:dyDescent="0.25">
      <c r="A72" s="167"/>
      <c r="B72" s="129" t="s">
        <v>214</v>
      </c>
      <c r="C72" s="176">
        <v>1.22</v>
      </c>
      <c r="D72" s="129" t="s">
        <v>166</v>
      </c>
      <c r="E72" s="170"/>
      <c r="F72" s="170"/>
    </row>
    <row r="73" spans="1:6" ht="14.25" customHeight="1" x14ac:dyDescent="0.25">
      <c r="A73" s="167"/>
      <c r="B73" s="129" t="s">
        <v>215</v>
      </c>
      <c r="C73" s="176">
        <v>0.45</v>
      </c>
      <c r="D73" s="129" t="s">
        <v>155</v>
      </c>
      <c r="E73" s="170"/>
      <c r="F73" s="170"/>
    </row>
    <row r="74" spans="1:6" ht="14.25" customHeight="1" x14ac:dyDescent="0.25">
      <c r="A74" s="167"/>
      <c r="B74" s="130" t="s">
        <v>167</v>
      </c>
      <c r="C74" s="177">
        <v>0.68</v>
      </c>
      <c r="D74" s="130" t="s">
        <v>157</v>
      </c>
      <c r="E74" s="170"/>
      <c r="F74" s="170"/>
    </row>
    <row r="75" spans="1:6" ht="13.5" customHeight="1" x14ac:dyDescent="0.25"/>
    <row r="76" spans="1:6" ht="13.5" customHeight="1" x14ac:dyDescent="0.25"/>
    <row r="77" spans="1:6" ht="13.5" customHeight="1" x14ac:dyDescent="0.25">
      <c r="A77" s="160" t="s">
        <v>241</v>
      </c>
    </row>
    <row r="78" spans="1:6" ht="36.75" customHeight="1" x14ac:dyDescent="0.25">
      <c r="B78" s="531" t="s">
        <v>253</v>
      </c>
      <c r="C78" s="531"/>
      <c r="D78" s="531"/>
      <c r="E78" s="178"/>
    </row>
    <row r="79" spans="1:6" ht="16.5" customHeight="1" x14ac:dyDescent="0.25">
      <c r="A79" s="178"/>
      <c r="B79" s="95" t="s">
        <v>222</v>
      </c>
      <c r="C79" s="98">
        <f>0.25</f>
        <v>0.25</v>
      </c>
      <c r="D79" s="96"/>
      <c r="E79" s="178"/>
    </row>
    <row r="80" spans="1:6" ht="13.5" customHeight="1" x14ac:dyDescent="0.25">
      <c r="A80" s="170"/>
      <c r="E80" s="127"/>
    </row>
    <row r="81" spans="1:7" ht="16.5" customHeight="1" x14ac:dyDescent="0.25">
      <c r="B81" s="131" t="s">
        <v>220</v>
      </c>
      <c r="E81" s="179"/>
    </row>
    <row r="82" spans="1:7" ht="16.5" customHeight="1" x14ac:dyDescent="0.25">
      <c r="B82" s="95" t="s">
        <v>211</v>
      </c>
      <c r="C82" s="96" t="s">
        <v>212</v>
      </c>
      <c r="D82" s="165" t="s">
        <v>149</v>
      </c>
      <c r="E82" s="179"/>
    </row>
    <row r="83" spans="1:7" ht="15.75" customHeight="1" x14ac:dyDescent="0.25">
      <c r="A83" s="167"/>
      <c r="B83" s="128" t="s">
        <v>162</v>
      </c>
      <c r="C83" s="180">
        <v>0.25</v>
      </c>
      <c r="D83" s="172" t="s">
        <v>157</v>
      </c>
      <c r="E83" s="181"/>
    </row>
    <row r="84" spans="1:7" ht="15.75" customHeight="1" x14ac:dyDescent="0.25">
      <c r="A84" s="167"/>
      <c r="B84" s="129" t="s">
        <v>221</v>
      </c>
      <c r="C84" s="173">
        <f>0.8/9.7</f>
        <v>8.2474226804123724E-2</v>
      </c>
      <c r="D84" s="182" t="s">
        <v>163</v>
      </c>
      <c r="E84" s="181"/>
    </row>
    <row r="85" spans="1:7" ht="15.75" customHeight="1" x14ac:dyDescent="0.25">
      <c r="A85" s="167"/>
      <c r="B85" s="129" t="s">
        <v>168</v>
      </c>
      <c r="C85" s="181">
        <v>0.79</v>
      </c>
      <c r="D85" s="183" t="s">
        <v>155</v>
      </c>
      <c r="E85" s="184"/>
    </row>
    <row r="86" spans="1:7" ht="15.75" customHeight="1" x14ac:dyDescent="0.25">
      <c r="A86" s="167"/>
      <c r="B86" s="129" t="s">
        <v>153</v>
      </c>
      <c r="C86" s="181">
        <v>4.38</v>
      </c>
      <c r="D86" s="183" t="s">
        <v>154</v>
      </c>
      <c r="E86" s="167"/>
    </row>
    <row r="87" spans="1:7" ht="15.75" customHeight="1" x14ac:dyDescent="0.25">
      <c r="A87" s="167"/>
      <c r="B87" s="129" t="str">
        <f>"Fiber Glass Batt Insulation"&amp;" R"&amp;C87</f>
        <v>Fiber Glass Batt Insulation R13</v>
      </c>
      <c r="C87" s="219">
        <f>E19</f>
        <v>13</v>
      </c>
      <c r="D87" s="185"/>
      <c r="E87" s="167"/>
    </row>
    <row r="88" spans="1:7" ht="15.75" customHeight="1" x14ac:dyDescent="0.25">
      <c r="A88" s="167"/>
      <c r="B88" s="129" t="s">
        <v>215</v>
      </c>
      <c r="C88" s="167">
        <v>0.45</v>
      </c>
      <c r="D88" s="168" t="s">
        <v>155</v>
      </c>
    </row>
    <row r="89" spans="1:7" ht="15.75" customHeight="1" x14ac:dyDescent="0.25">
      <c r="A89" s="167"/>
      <c r="B89" s="130" t="s">
        <v>167</v>
      </c>
      <c r="C89" s="169">
        <v>0.68</v>
      </c>
      <c r="D89" s="186" t="s">
        <v>157</v>
      </c>
    </row>
    <row r="90" spans="1:7" ht="14.25" customHeight="1" x14ac:dyDescent="0.25"/>
    <row r="91" spans="1:7" ht="14.25" customHeight="1" x14ac:dyDescent="0.25"/>
    <row r="92" spans="1:7" ht="14.25" customHeight="1" x14ac:dyDescent="0.25"/>
    <row r="93" spans="1:7" ht="14.25" customHeight="1" x14ac:dyDescent="0.25"/>
    <row r="94" spans="1:7" ht="16.5" customHeight="1" x14ac:dyDescent="0.25">
      <c r="A94" s="170"/>
      <c r="B94" s="166" t="s">
        <v>223</v>
      </c>
      <c r="C94" s="187"/>
      <c r="D94" s="128"/>
      <c r="E94" s="170"/>
      <c r="F94" s="170"/>
      <c r="G94" s="170"/>
    </row>
    <row r="95" spans="1:7" ht="16.5" customHeight="1" x14ac:dyDescent="0.25">
      <c r="A95" s="170"/>
      <c r="B95" s="95" t="s">
        <v>256</v>
      </c>
      <c r="C95" s="188" t="s">
        <v>171</v>
      </c>
      <c r="D95" s="165" t="s">
        <v>172</v>
      </c>
      <c r="E95" s="167"/>
      <c r="F95" s="170"/>
      <c r="G95" s="170"/>
    </row>
    <row r="96" spans="1:7" ht="15.75" customHeight="1" x14ac:dyDescent="0.25">
      <c r="A96" s="170"/>
      <c r="B96" s="189" t="s">
        <v>173</v>
      </c>
      <c r="C96" s="190">
        <v>7.625</v>
      </c>
      <c r="D96" s="171" t="s">
        <v>174</v>
      </c>
      <c r="E96" s="170"/>
      <c r="F96" s="170"/>
      <c r="G96" s="170"/>
    </row>
    <row r="97" spans="1:7" ht="15.75" customHeight="1" x14ac:dyDescent="0.25">
      <c r="A97" s="170"/>
      <c r="B97" s="191" t="s">
        <v>175</v>
      </c>
      <c r="C97" s="192">
        <v>7.625</v>
      </c>
      <c r="D97" s="176" t="s">
        <v>174</v>
      </c>
      <c r="E97" s="170"/>
      <c r="F97" s="170"/>
      <c r="G97" s="170"/>
    </row>
    <row r="98" spans="1:7" ht="15.75" customHeight="1" x14ac:dyDescent="0.25">
      <c r="A98" s="170"/>
      <c r="B98" s="191" t="s">
        <v>176</v>
      </c>
      <c r="C98" s="193">
        <v>15.625</v>
      </c>
      <c r="D98" s="176" t="s">
        <v>174</v>
      </c>
      <c r="E98" s="170"/>
      <c r="F98" s="170"/>
      <c r="G98" s="170"/>
    </row>
    <row r="99" spans="1:7" ht="15.75" customHeight="1" x14ac:dyDescent="0.25">
      <c r="A99" s="170"/>
      <c r="B99" s="191" t="s">
        <v>177</v>
      </c>
      <c r="C99" s="194">
        <v>1</v>
      </c>
      <c r="D99" s="176" t="s">
        <v>174</v>
      </c>
      <c r="E99" s="170"/>
      <c r="F99" s="170"/>
      <c r="G99" s="170"/>
    </row>
    <row r="100" spans="1:7" ht="15.75" customHeight="1" x14ac:dyDescent="0.25">
      <c r="A100" s="170"/>
      <c r="B100" s="191" t="s">
        <v>178</v>
      </c>
      <c r="C100" s="193">
        <v>1.25</v>
      </c>
      <c r="D100" s="176" t="s">
        <v>174</v>
      </c>
      <c r="E100" s="170"/>
      <c r="F100" s="170"/>
      <c r="G100" s="170"/>
    </row>
    <row r="101" spans="1:7" ht="15.75" customHeight="1" x14ac:dyDescent="0.25">
      <c r="A101" s="170"/>
      <c r="B101" s="191" t="s">
        <v>179</v>
      </c>
      <c r="C101" s="195">
        <v>0.1</v>
      </c>
      <c r="D101" s="176" t="s">
        <v>188</v>
      </c>
      <c r="E101" s="170"/>
      <c r="F101" s="170"/>
      <c r="G101" s="170"/>
    </row>
    <row r="102" spans="1:7" ht="15.75" customHeight="1" x14ac:dyDescent="0.25">
      <c r="A102" s="170"/>
      <c r="B102" s="191" t="s">
        <v>180</v>
      </c>
      <c r="C102" s="195">
        <v>2.9</v>
      </c>
      <c r="D102" s="176" t="s">
        <v>188</v>
      </c>
      <c r="E102" s="170"/>
      <c r="F102" s="170"/>
      <c r="G102" s="170"/>
    </row>
    <row r="103" spans="1:7" ht="13.5" customHeight="1" x14ac:dyDescent="0.25">
      <c r="A103" s="170"/>
      <c r="B103" s="191"/>
      <c r="C103" s="193"/>
      <c r="D103" s="176"/>
      <c r="E103" s="170"/>
      <c r="F103" s="170"/>
      <c r="G103" s="170"/>
    </row>
    <row r="104" spans="1:7" ht="15.75" customHeight="1" x14ac:dyDescent="0.25">
      <c r="A104" s="170"/>
      <c r="B104" s="191" t="s">
        <v>181</v>
      </c>
      <c r="C104" s="196">
        <f>2*C100*C101</f>
        <v>0.25</v>
      </c>
      <c r="D104" s="176" t="s">
        <v>188</v>
      </c>
      <c r="E104" s="170"/>
      <c r="F104" s="170"/>
      <c r="G104" s="170"/>
    </row>
    <row r="105" spans="1:7" ht="15.75" customHeight="1" x14ac:dyDescent="0.25">
      <c r="A105" s="170"/>
      <c r="B105" s="191" t="s">
        <v>182</v>
      </c>
      <c r="C105" s="196">
        <f>(C96-2*C100)*C101</f>
        <v>0.51250000000000007</v>
      </c>
      <c r="D105" s="176" t="s">
        <v>188</v>
      </c>
      <c r="E105" s="170"/>
      <c r="F105" s="170"/>
      <c r="G105" s="170"/>
    </row>
    <row r="106" spans="1:7" ht="15.75" customHeight="1" x14ac:dyDescent="0.25">
      <c r="A106" s="170"/>
      <c r="B106" s="191" t="s">
        <v>183</v>
      </c>
      <c r="C106" s="196">
        <f>(C96-2*C100)*C102</f>
        <v>14.862499999999999</v>
      </c>
      <c r="D106" s="176" t="s">
        <v>188</v>
      </c>
      <c r="E106" s="170"/>
      <c r="F106" s="170"/>
      <c r="G106" s="170"/>
    </row>
    <row r="107" spans="1:7" ht="15.75" customHeight="1" x14ac:dyDescent="0.25">
      <c r="A107" s="170"/>
      <c r="B107" s="191" t="s">
        <v>184</v>
      </c>
      <c r="C107" s="196">
        <f>3*C99/C98</f>
        <v>0.192</v>
      </c>
      <c r="D107" s="176" t="s">
        <v>185</v>
      </c>
      <c r="E107" s="170"/>
      <c r="F107" s="170"/>
      <c r="G107" s="170"/>
    </row>
    <row r="108" spans="1:7" ht="15.75" customHeight="1" x14ac:dyDescent="0.25">
      <c r="A108" s="170"/>
      <c r="B108" s="197" t="s">
        <v>186</v>
      </c>
      <c r="C108" s="198">
        <f>(C98-3*C99)/C98</f>
        <v>0.80800000000000005</v>
      </c>
      <c r="D108" s="176" t="s">
        <v>185</v>
      </c>
      <c r="E108" s="170"/>
      <c r="F108" s="170"/>
      <c r="G108" s="170"/>
    </row>
    <row r="109" spans="1:7" ht="16.5" customHeight="1" x14ac:dyDescent="0.25">
      <c r="A109" s="170"/>
      <c r="B109" s="199" t="s">
        <v>187</v>
      </c>
      <c r="C109" s="447">
        <f>C104+1/(C107/C105+C108/C106)</f>
        <v>2.5810069008782937</v>
      </c>
      <c r="D109" s="165" t="s">
        <v>188</v>
      </c>
      <c r="E109" s="170"/>
      <c r="F109" s="170"/>
      <c r="G109" s="170"/>
    </row>
    <row r="111" spans="1:7" x14ac:dyDescent="0.25">
      <c r="B111" s="200"/>
    </row>
    <row r="112" spans="1:7" ht="15" customHeight="1" x14ac:dyDescent="0.25">
      <c r="B112" s="200" t="s">
        <v>189</v>
      </c>
    </row>
    <row r="113" spans="1:4" ht="34.5" customHeight="1" x14ac:dyDescent="0.25">
      <c r="B113" s="522" t="s">
        <v>190</v>
      </c>
      <c r="C113" s="522"/>
      <c r="D113" s="522"/>
    </row>
    <row r="117" spans="1:4" x14ac:dyDescent="0.25">
      <c r="C117" s="200"/>
    </row>
    <row r="118" spans="1:4" x14ac:dyDescent="0.25">
      <c r="A118" s="164"/>
    </row>
    <row r="119" spans="1:4" x14ac:dyDescent="0.25">
      <c r="A119" s="164"/>
    </row>
    <row r="120" spans="1:4" x14ac:dyDescent="0.25">
      <c r="A120" s="164"/>
    </row>
    <row r="121" spans="1:4" x14ac:dyDescent="0.25">
      <c r="A121" s="164"/>
    </row>
  </sheetData>
  <sheetProtection password="BDDF" sheet="1" objects="1" scenarios="1"/>
  <mergeCells count="3">
    <mergeCell ref="B113:D113"/>
    <mergeCell ref="B65:D65"/>
    <mergeCell ref="B78:D78"/>
  </mergeCells>
  <pageMargins left="0.7" right="0.7" top="0.75" bottom="0.75" header="0.3" footer="0.3"/>
  <pageSetup scale="55" orientation="portrait" r:id="rId1"/>
  <rowBreaks count="1" manualBreakCount="1">
    <brk id="3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142"/>
  <sheetViews>
    <sheetView tabSelected="1" topLeftCell="B1" zoomScale="90" zoomScaleNormal="90" workbookViewId="0">
      <selection activeCell="I23" sqref="I23"/>
    </sheetView>
  </sheetViews>
  <sheetFormatPr defaultColWidth="9.1796875" defaultRowHeight="14.5" x14ac:dyDescent="0.35"/>
  <cols>
    <col min="1" max="1" width="4.453125" style="256" customWidth="1"/>
    <col min="2" max="2" width="46.7265625" style="256" customWidth="1"/>
    <col min="3" max="3" width="23.1796875" style="256" customWidth="1"/>
    <col min="4" max="4" width="24.81640625" style="256" customWidth="1"/>
    <col min="5" max="5" width="21" style="256" customWidth="1"/>
    <col min="6" max="6" width="20.1796875" style="256" customWidth="1"/>
    <col min="7" max="7" width="26.26953125" style="256" customWidth="1"/>
    <col min="8" max="8" width="26.26953125" style="256" hidden="1" customWidth="1"/>
    <col min="9" max="9" width="24.7265625" style="256" customWidth="1"/>
    <col min="10" max="16384" width="9.1796875" style="256"/>
  </cols>
  <sheetData>
    <row r="1" spans="1:8" ht="7.5" customHeight="1" x14ac:dyDescent="0.35">
      <c r="A1" s="13"/>
      <c r="B1" s="13"/>
      <c r="C1" s="13"/>
      <c r="D1" s="13"/>
      <c r="E1" s="13"/>
      <c r="F1" s="13"/>
      <c r="G1" s="13"/>
    </row>
    <row r="3" spans="1:8" ht="34.5" customHeight="1" x14ac:dyDescent="0.35">
      <c r="B3" s="258" t="s">
        <v>25</v>
      </c>
      <c r="C3" s="258" t="s">
        <v>27</v>
      </c>
      <c r="D3" s="507" t="str">
        <f>IF(Instructions!D2="","Enter Vendor's Software Name In Instruction Sheet",Instructions!D2)</f>
        <v xml:space="preserve">EnergyGauge USA </v>
      </c>
      <c r="E3" s="507"/>
    </row>
    <row r="4" spans="1:8" ht="15" customHeight="1" x14ac:dyDescent="0.35">
      <c r="B4" s="326" t="str">
        <f>D_T01!B2</f>
        <v xml:space="preserve">Prescriptive Test: House T01 (Pr-T01) Characteristics – Location: Tampa, Florida. </v>
      </c>
      <c r="C4" s="326"/>
      <c r="D4" s="326"/>
      <c r="E4" s="326"/>
    </row>
    <row r="5" spans="1:8" ht="15" customHeight="1" x14ac:dyDescent="0.35">
      <c r="B5" s="326" t="str">
        <f>D_T01!B3</f>
        <v>Single Family Detached Home with No Attached Garage, Single Story, Three bedroom.</v>
      </c>
      <c r="C5" s="326"/>
      <c r="D5" s="326"/>
      <c r="E5" s="326"/>
    </row>
    <row r="6" spans="1:8" x14ac:dyDescent="0.35">
      <c r="B6" s="4" t="s">
        <v>28</v>
      </c>
    </row>
    <row r="7" spans="1:8" x14ac:dyDescent="0.35">
      <c r="B7" s="1" t="s">
        <v>112</v>
      </c>
      <c r="C7" s="1"/>
      <c r="D7" s="8" t="s">
        <v>84</v>
      </c>
      <c r="E7" s="8"/>
    </row>
    <row r="8" spans="1:8" x14ac:dyDescent="0.35">
      <c r="B8" s="3" t="s">
        <v>113</v>
      </c>
      <c r="C8" s="3"/>
      <c r="D8" s="3"/>
    </row>
    <row r="9" spans="1:8" x14ac:dyDescent="0.35">
      <c r="B9" s="249" t="str">
        <f>D_T01!B4</f>
        <v>House Pr-T01</v>
      </c>
      <c r="C9" s="10" t="s">
        <v>242</v>
      </c>
      <c r="D9" s="116" t="s">
        <v>75</v>
      </c>
      <c r="E9" s="466" t="s">
        <v>446</v>
      </c>
    </row>
    <row r="10" spans="1:8" ht="15" thickBot="1" x14ac:dyDescent="0.4">
      <c r="C10" s="10" t="s">
        <v>86</v>
      </c>
      <c r="D10" s="10" t="s">
        <v>29</v>
      </c>
      <c r="E10" s="4" t="s">
        <v>424</v>
      </c>
    </row>
    <row r="11" spans="1:8" ht="15" thickBot="1" x14ac:dyDescent="0.4">
      <c r="B11" s="246" t="str">
        <f>D_T01!B8</f>
        <v>Slab-on-grade Floor</v>
      </c>
      <c r="C11" s="103" t="s">
        <v>93</v>
      </c>
      <c r="D11" s="105" t="str">
        <f>IF(C11="Complies","Pass","Fail")</f>
        <v>Pass</v>
      </c>
      <c r="E11" s="6"/>
      <c r="H11" s="9">
        <f t="shared" ref="H11:H23" si="0">IF(OR(D11="Not applicable",D11="Software Doesn't Check",D11="Pass"),0,1)</f>
        <v>0</v>
      </c>
    </row>
    <row r="12" spans="1:8" ht="15" thickBot="1" x14ac:dyDescent="0.4">
      <c r="B12" s="247" t="str">
        <f>D_T01!B9</f>
        <v>Roof – gable type- 5 in 12 slope No overhangs</v>
      </c>
      <c r="C12" s="103" t="s">
        <v>93</v>
      </c>
      <c r="D12" s="105" t="str">
        <f>IF(C12="Complies","Pass","Fail")</f>
        <v>Pass</v>
      </c>
      <c r="E12" s="6"/>
      <c r="H12" s="9">
        <f t="shared" si="0"/>
        <v>0</v>
      </c>
    </row>
    <row r="13" spans="1:8" ht="15" thickBot="1" x14ac:dyDescent="0.4">
      <c r="B13" s="247" t="str">
        <f>D_T01!B10</f>
        <v>Ceiling1 –flat under attic</v>
      </c>
      <c r="C13" s="103" t="s">
        <v>93</v>
      </c>
      <c r="D13" s="105" t="str">
        <f>IF(C13="Complies","Pass","Fail")</f>
        <v>Pass</v>
      </c>
      <c r="E13" s="6"/>
      <c r="H13" s="9">
        <f t="shared" si="0"/>
        <v>0</v>
      </c>
    </row>
    <row r="14" spans="1:8" ht="15" thickBot="1" x14ac:dyDescent="0.4">
      <c r="B14" s="247" t="str">
        <f>D_T01!B11</f>
        <v xml:space="preserve">        Skylight</v>
      </c>
      <c r="C14" s="103" t="s">
        <v>93</v>
      </c>
      <c r="D14" s="105" t="str">
        <f>IF(C14="Complies","Pass","Fail")</f>
        <v>Pass</v>
      </c>
      <c r="E14" s="6"/>
      <c r="H14" s="9">
        <f t="shared" si="0"/>
        <v>0</v>
      </c>
    </row>
    <row r="15" spans="1:8" ht="15" thickBot="1" x14ac:dyDescent="0.4">
      <c r="B15" s="247" t="str">
        <f>D_T01!B12</f>
        <v>Wall 1 –faces North, CBS2</v>
      </c>
      <c r="C15" s="103" t="s">
        <v>93</v>
      </c>
      <c r="D15" s="105" t="str">
        <f>IF(C15="Complies","Pass","Fail")</f>
        <v>Pass</v>
      </c>
      <c r="E15" s="6"/>
      <c r="H15" s="9">
        <f t="shared" si="0"/>
        <v>0</v>
      </c>
    </row>
    <row r="16" spans="1:8" ht="15" thickBot="1" x14ac:dyDescent="0.4">
      <c r="B16" s="247" t="str">
        <f>D_T01!B13</f>
        <v xml:space="preserve">        Door 1 - </v>
      </c>
      <c r="C16" s="106" t="s">
        <v>63</v>
      </c>
      <c r="D16" s="105" t="s">
        <v>63</v>
      </c>
      <c r="E16" s="6"/>
      <c r="H16" s="9">
        <f t="shared" si="0"/>
        <v>0</v>
      </c>
    </row>
    <row r="17" spans="2:8" ht="15" thickBot="1" x14ac:dyDescent="0.4">
      <c r="B17" s="247" t="str">
        <f>D_T01!B14</f>
        <v xml:space="preserve">        Window 1 – Vinyl Frame Low-e Double</v>
      </c>
      <c r="C17" s="106" t="s">
        <v>63</v>
      </c>
      <c r="D17" s="105" t="s">
        <v>63</v>
      </c>
      <c r="E17" s="6"/>
      <c r="H17" s="9">
        <f t="shared" si="0"/>
        <v>0</v>
      </c>
    </row>
    <row r="18" spans="2:8" ht="15" thickBot="1" x14ac:dyDescent="0.4">
      <c r="B18" s="247" t="str">
        <f>D_T01!B15</f>
        <v>Wall 2 –faces East, CBS</v>
      </c>
      <c r="C18" s="103" t="s">
        <v>93</v>
      </c>
      <c r="D18" s="105" t="str">
        <f>IF(C18="Complies","Pass","Fail")</f>
        <v>Pass</v>
      </c>
      <c r="E18" s="6"/>
      <c r="H18" s="9">
        <f t="shared" si="0"/>
        <v>0</v>
      </c>
    </row>
    <row r="19" spans="2:8" ht="15" thickBot="1" x14ac:dyDescent="0.4">
      <c r="B19" s="247" t="str">
        <f>D_T01!B16</f>
        <v xml:space="preserve">        Window 2 – Vinyl Frame Low-e Double</v>
      </c>
      <c r="C19" s="106" t="s">
        <v>63</v>
      </c>
      <c r="D19" s="105" t="s">
        <v>63</v>
      </c>
      <c r="E19" s="6"/>
      <c r="H19" s="9">
        <f t="shared" si="0"/>
        <v>0</v>
      </c>
    </row>
    <row r="20" spans="2:8" ht="15" thickBot="1" x14ac:dyDescent="0.4">
      <c r="B20" s="247" t="str">
        <f>D_T01!B17</f>
        <v>Wall 3 –faces South, CBS</v>
      </c>
      <c r="C20" s="103" t="s">
        <v>93</v>
      </c>
      <c r="D20" s="105" t="str">
        <f>IF(C20="Complies","Pass","Fail")</f>
        <v>Pass</v>
      </c>
      <c r="E20" s="6"/>
      <c r="H20" s="9">
        <f t="shared" si="0"/>
        <v>0</v>
      </c>
    </row>
    <row r="21" spans="2:8" ht="15" thickBot="1" x14ac:dyDescent="0.4">
      <c r="B21" s="247" t="str">
        <f>D_T01!B18</f>
        <v xml:space="preserve">        Window 3 – Vinyl Frame Low-e Double</v>
      </c>
      <c r="C21" s="106" t="s">
        <v>63</v>
      </c>
      <c r="D21" s="105" t="s">
        <v>63</v>
      </c>
      <c r="E21" s="6"/>
      <c r="H21" s="9">
        <f t="shared" si="0"/>
        <v>0</v>
      </c>
    </row>
    <row r="22" spans="2:8" ht="15" thickBot="1" x14ac:dyDescent="0.4">
      <c r="B22" s="247" t="str">
        <f>D_T01!B19</f>
        <v>Wall 4 –faces South, Wood3 2x4 Stud</v>
      </c>
      <c r="C22" s="103" t="s">
        <v>93</v>
      </c>
      <c r="D22" s="105" t="str">
        <f>IF(C22="Complies","Pass","Fail")</f>
        <v>Pass</v>
      </c>
      <c r="E22" s="6"/>
      <c r="H22" s="9">
        <f t="shared" si="0"/>
        <v>0</v>
      </c>
    </row>
    <row r="23" spans="2:8" ht="15" thickBot="1" x14ac:dyDescent="0.4">
      <c r="B23" s="247" t="str">
        <f>D_T01!B20</f>
        <v xml:space="preserve">        Window 4 – Vinyl Frame  Low-e Double</v>
      </c>
      <c r="C23" s="106" t="s">
        <v>63</v>
      </c>
      <c r="D23" s="105" t="s">
        <v>63</v>
      </c>
      <c r="E23" s="6"/>
      <c r="H23" s="9">
        <f t="shared" si="0"/>
        <v>0</v>
      </c>
    </row>
    <row r="24" spans="2:8" ht="15" thickBot="1" x14ac:dyDescent="0.4">
      <c r="B24" s="247" t="str">
        <f>D_T01!B21</f>
        <v>Wall 5 –faces West, CBS</v>
      </c>
      <c r="C24" s="103" t="s">
        <v>93</v>
      </c>
      <c r="D24" s="105" t="str">
        <f>IF(C24="Complies","Pass","Fail")</f>
        <v>Pass</v>
      </c>
      <c r="E24" s="6"/>
      <c r="H24" s="9">
        <f>IF(OR(D24="Not applicable",D24="Software Doesn't Check",D24="Pass"),0,1)</f>
        <v>0</v>
      </c>
    </row>
    <row r="25" spans="2:8" ht="15" thickBot="1" x14ac:dyDescent="0.4">
      <c r="B25" s="247" t="str">
        <f>D_T01!B22</f>
        <v xml:space="preserve">        Window 5 – Vinyl Frame Low-e Double</v>
      </c>
      <c r="C25" s="107" t="s">
        <v>63</v>
      </c>
      <c r="D25" s="105" t="s">
        <v>63</v>
      </c>
      <c r="E25" s="6"/>
      <c r="H25" s="9">
        <f t="shared" ref="H25:H46" si="1">IF(OR(D25="Not applicable",D25="Software Doesn't Check",D25="Pass"),0,1)</f>
        <v>0</v>
      </c>
    </row>
    <row r="26" spans="2:8" ht="15" thickBot="1" x14ac:dyDescent="0.4">
      <c r="B26" s="247" t="str">
        <f>D_T01!B23</f>
        <v>Infiltration</v>
      </c>
      <c r="C26" s="108" t="s">
        <v>93</v>
      </c>
      <c r="D26" s="105" t="str">
        <f>IF(C26="Complies","Pass",IF(C26="Not part of software","Software Doesn't Check","Fail"))</f>
        <v>Pass</v>
      </c>
      <c r="E26" s="6"/>
      <c r="H26" s="9">
        <f t="shared" si="1"/>
        <v>0</v>
      </c>
    </row>
    <row r="27" spans="2:8" ht="15" thickBot="1" x14ac:dyDescent="0.4">
      <c r="B27" s="247" t="str">
        <f>D_T01!B24</f>
        <v>Heating – heat pump</v>
      </c>
      <c r="C27" s="113" t="s">
        <v>93</v>
      </c>
      <c r="D27" s="105" t="str">
        <f>IF(C27="Complies","Pass",IF(C27="Not part of software","Software Doesn't Check","Fail"))</f>
        <v>Pass</v>
      </c>
      <c r="E27" s="6"/>
      <c r="H27" s="9">
        <f t="shared" si="1"/>
        <v>0</v>
      </c>
    </row>
    <row r="28" spans="2:8" ht="15" thickBot="1" x14ac:dyDescent="0.4">
      <c r="B28" s="247" t="str">
        <f>D_T01!B25</f>
        <v>Cooling – heat pump</v>
      </c>
      <c r="C28" s="103" t="s">
        <v>93</v>
      </c>
      <c r="D28" s="105" t="str">
        <f>IF(C28="Complies","Pass",IF(C28="Not part of software","Software Doesn't Check","Fail"))</f>
        <v>Pass</v>
      </c>
      <c r="E28" s="6"/>
      <c r="H28" s="9">
        <f t="shared" si="1"/>
        <v>0</v>
      </c>
    </row>
    <row r="29" spans="2:8" ht="15" thickBot="1" x14ac:dyDescent="0.4">
      <c r="B29" s="247" t="str">
        <f>D_T01!B26</f>
        <v>Ducts – supply in attic</v>
      </c>
      <c r="C29" s="103" t="s">
        <v>93</v>
      </c>
      <c r="D29" s="105" t="str">
        <f>IF(C29="Complies","Pass",IF(C29="Not part of software","Software Doesn't Check","Fail"))</f>
        <v>Pass</v>
      </c>
      <c r="E29" s="465" t="s">
        <v>423</v>
      </c>
      <c r="H29" s="9">
        <f t="shared" si="1"/>
        <v>0</v>
      </c>
    </row>
    <row r="30" spans="2:8" ht="15" thickBot="1" x14ac:dyDescent="0.4">
      <c r="B30" s="247" t="str">
        <f>D_T01!B27</f>
        <v>Ducts – Return in Conditioned Space</v>
      </c>
      <c r="C30" s="103" t="s">
        <v>93</v>
      </c>
      <c r="D30" s="105" t="str">
        <f t="shared" ref="D30:D38" si="2">IF(C30="Complies","Pass",IF(C30="Not part of software","Software Doesn't Check","Fail"))</f>
        <v>Pass</v>
      </c>
      <c r="E30" s="6"/>
      <c r="H30" s="9">
        <f t="shared" si="1"/>
        <v>0</v>
      </c>
    </row>
    <row r="31" spans="2:8" ht="15" thickBot="1" x14ac:dyDescent="0.4">
      <c r="B31" s="247" t="str">
        <f>D_T01!B28</f>
        <v>Duct Tightness</v>
      </c>
      <c r="C31" s="103" t="s">
        <v>93</v>
      </c>
      <c r="D31" s="105" t="str">
        <f t="shared" si="2"/>
        <v>Pass</v>
      </c>
      <c r="E31" s="6"/>
      <c r="H31" s="9">
        <f t="shared" si="1"/>
        <v>0</v>
      </c>
    </row>
    <row r="32" spans="2:8" ht="15" thickBot="1" x14ac:dyDescent="0.4">
      <c r="B32" s="247" t="str">
        <f>D_T01!B29</f>
        <v>Air Handler – in Conditioned Space</v>
      </c>
      <c r="C32" s="103" t="s">
        <v>93</v>
      </c>
      <c r="D32" s="105" t="str">
        <f t="shared" si="2"/>
        <v>Pass</v>
      </c>
      <c r="E32" s="6"/>
      <c r="H32" s="9">
        <f t="shared" si="1"/>
        <v>0</v>
      </c>
    </row>
    <row r="33" spans="1:8" ht="15" thickBot="1" x14ac:dyDescent="0.4">
      <c r="B33" s="247" t="str">
        <f>D_T01!B30</f>
        <v>Mechanical Ventilation</v>
      </c>
      <c r="C33" s="103" t="s">
        <v>93</v>
      </c>
      <c r="D33" s="105" t="str">
        <f t="shared" si="2"/>
        <v>Pass</v>
      </c>
      <c r="E33" s="6"/>
      <c r="H33" s="9">
        <f t="shared" si="1"/>
        <v>0</v>
      </c>
    </row>
    <row r="34" spans="1:8" ht="15" thickBot="1" x14ac:dyDescent="0.4">
      <c r="B34" s="247" t="str">
        <f>D_T01!B31</f>
        <v>Hot Water System - electric</v>
      </c>
      <c r="C34" s="103" t="s">
        <v>93</v>
      </c>
      <c r="D34" s="105" t="str">
        <f t="shared" si="2"/>
        <v>Pass</v>
      </c>
      <c r="E34" s="6"/>
      <c r="H34" s="9">
        <f t="shared" si="1"/>
        <v>0</v>
      </c>
    </row>
    <row r="35" spans="1:8" ht="15" thickBot="1" x14ac:dyDescent="0.4">
      <c r="B35" s="247" t="str">
        <f>D_T01!B32</f>
        <v>All Hot Water Lines</v>
      </c>
      <c r="C35" s="103" t="s">
        <v>56</v>
      </c>
      <c r="D35" s="105" t="str">
        <f t="shared" si="2"/>
        <v>Software Doesn't Check</v>
      </c>
      <c r="E35" s="6"/>
      <c r="H35" s="9">
        <f t="shared" si="1"/>
        <v>0</v>
      </c>
    </row>
    <row r="36" spans="1:8" ht="15" thickBot="1" x14ac:dyDescent="0.4">
      <c r="B36" s="247" t="str">
        <f>D_T01!B33</f>
        <v>Hot Water Circulation -none</v>
      </c>
      <c r="C36" s="103" t="s">
        <v>56</v>
      </c>
      <c r="D36" s="105" t="str">
        <f t="shared" si="2"/>
        <v>Software Doesn't Check</v>
      </c>
      <c r="E36" s="6"/>
      <c r="H36" s="9">
        <f t="shared" si="1"/>
        <v>0</v>
      </c>
    </row>
    <row r="37" spans="1:8" ht="15" thickBot="1" x14ac:dyDescent="0.4">
      <c r="B37" s="247" t="str">
        <f>D_T01!B34</f>
        <v>Lighting</v>
      </c>
      <c r="C37" s="103" t="s">
        <v>93</v>
      </c>
      <c r="D37" s="105" t="str">
        <f t="shared" si="2"/>
        <v>Pass</v>
      </c>
      <c r="E37" s="6"/>
      <c r="H37" s="9">
        <f t="shared" si="1"/>
        <v>0</v>
      </c>
    </row>
    <row r="38" spans="1:8" ht="15" thickBot="1" x14ac:dyDescent="0.4">
      <c r="B38" s="247" t="str">
        <f>D_T01!B35</f>
        <v>Pool and Spa - none</v>
      </c>
      <c r="C38" s="103" t="s">
        <v>56</v>
      </c>
      <c r="D38" s="105" t="str">
        <f t="shared" si="2"/>
        <v>Software Doesn't Check</v>
      </c>
      <c r="E38" s="6"/>
      <c r="H38" s="9">
        <f t="shared" si="1"/>
        <v>0</v>
      </c>
    </row>
    <row r="39" spans="1:8" ht="15" thickBot="1" x14ac:dyDescent="0.4">
      <c r="B39" s="248" t="str">
        <f>D_T01!B38</f>
        <v>Area Weighted Fenestration U-Factor Value</v>
      </c>
      <c r="C39" s="104">
        <v>0.4</v>
      </c>
      <c r="D39" s="105" t="str">
        <f>IF(C39&gt;UA_T01!M27,IF(C39&lt;=UA_T01!M28,"Pass","Fail"),"Fail")</f>
        <v>Pass</v>
      </c>
      <c r="E39" s="300"/>
      <c r="H39" s="9">
        <f t="shared" si="1"/>
        <v>0</v>
      </c>
    </row>
    <row r="40" spans="1:8" ht="15" thickBot="1" x14ac:dyDescent="0.4">
      <c r="B40" s="248" t="str">
        <f>D_T01!B39</f>
        <v>Area Weighted Fenestration SHGC Value</v>
      </c>
      <c r="C40" s="103">
        <v>0.25</v>
      </c>
      <c r="D40" s="105" t="str">
        <f>IF(C40&gt;UA_T01!Q27,IF(C40&lt;=UA_T01!Q28,"Pass","Fail"),"Fail")</f>
        <v>Pass</v>
      </c>
      <c r="E40" s="300"/>
      <c r="H40" s="9">
        <f t="shared" si="1"/>
        <v>0</v>
      </c>
    </row>
    <row r="41" spans="1:8" ht="15" thickBot="1" x14ac:dyDescent="0.4">
      <c r="B41" s="248" t="str">
        <f>D_T01!B40</f>
        <v>Total Thermal Envelope UA Value</v>
      </c>
      <c r="C41" s="110" t="s">
        <v>63</v>
      </c>
      <c r="D41" s="105" t="str">
        <f>IF(C41="Complies","Not applicable",IF(C41="Not applicable","Not applicable","Fail"))</f>
        <v>Not applicable</v>
      </c>
      <c r="E41" s="300"/>
      <c r="H41" s="9">
        <f t="shared" si="1"/>
        <v>0</v>
      </c>
    </row>
    <row r="42" spans="1:8" ht="15" thickBot="1" x14ac:dyDescent="0.4">
      <c r="B42" s="248" t="str">
        <f>D_T01!B41</f>
        <v>Area Weighted Fenestration U-Factor Result</v>
      </c>
      <c r="C42" s="103" t="s">
        <v>93</v>
      </c>
      <c r="D42" s="105" t="str">
        <f>IF(C42="Complies","Pass","Fail")</f>
        <v>Pass</v>
      </c>
      <c r="E42" s="6"/>
      <c r="H42" s="9">
        <f t="shared" si="1"/>
        <v>0</v>
      </c>
    </row>
    <row r="43" spans="1:8" ht="15" thickBot="1" x14ac:dyDescent="0.4">
      <c r="B43" s="248" t="str">
        <f>D_T01!B42</f>
        <v>Area Weighted Fenestration SHGC Result</v>
      </c>
      <c r="C43" s="103" t="s">
        <v>93</v>
      </c>
      <c r="D43" s="105" t="str">
        <f>IF(C43="Complies","Pass","Fail")</f>
        <v>Pass</v>
      </c>
      <c r="E43" s="6"/>
      <c r="H43" s="9">
        <f t="shared" si="1"/>
        <v>0</v>
      </c>
    </row>
    <row r="44" spans="1:8" ht="15" thickBot="1" x14ac:dyDescent="0.4">
      <c r="B44" s="248" t="str">
        <f>D_T01!B43</f>
        <v>Baseline Thermal Envelope UA Value</v>
      </c>
      <c r="C44" s="111" t="s">
        <v>63</v>
      </c>
      <c r="D44" s="105" t="str">
        <f>IF(C44="Complies","Not applicable",IF(C44="Not applicable","Not applicable","Fail"))</f>
        <v>Not applicable</v>
      </c>
      <c r="E44" s="6"/>
      <c r="H44" s="9">
        <f t="shared" si="1"/>
        <v>0</v>
      </c>
    </row>
    <row r="45" spans="1:8" ht="15" thickBot="1" x14ac:dyDescent="0.4">
      <c r="B45" s="248" t="str">
        <f>D_T01!B44</f>
        <v>Total Thermal Envelope UA Result</v>
      </c>
      <c r="C45" s="111" t="s">
        <v>63</v>
      </c>
      <c r="D45" s="105" t="str">
        <f>IF(C45="Complies","Not applicable",IF(C45="Not applicable","Not applicable","Fail"))</f>
        <v>Not applicable</v>
      </c>
      <c r="H45" s="9">
        <f t="shared" si="1"/>
        <v>0</v>
      </c>
    </row>
    <row r="46" spans="1:8" ht="15" thickBot="1" x14ac:dyDescent="0.4">
      <c r="B46" s="248" t="str">
        <f>D_T01!B45</f>
        <v>House Complies?</v>
      </c>
      <c r="C46" s="103" t="s">
        <v>119</v>
      </c>
      <c r="D46" s="105" t="str">
        <f>IF(C46="Yes","Pass","Fail")</f>
        <v>Pass</v>
      </c>
      <c r="E46" s="256" t="s">
        <v>423</v>
      </c>
      <c r="H46" s="9">
        <f t="shared" si="1"/>
        <v>0</v>
      </c>
    </row>
    <row r="47" spans="1:8" ht="21.65" customHeight="1" x14ac:dyDescent="0.6">
      <c r="B47" s="19"/>
      <c r="C47" s="15" t="s">
        <v>94</v>
      </c>
      <c r="D47" s="16" t="str">
        <f>IF(H47&gt;0,"FAIL","PASS")</f>
        <v>PASS</v>
      </c>
      <c r="H47" s="256">
        <f xml:space="preserve"> SUM(H11:H46)</f>
        <v>0</v>
      </c>
    </row>
    <row r="48" spans="1:8" ht="7.9" customHeight="1" x14ac:dyDescent="0.35">
      <c r="A48" s="13"/>
      <c r="B48" s="20"/>
      <c r="C48" s="17"/>
      <c r="D48" s="18"/>
      <c r="E48" s="13"/>
      <c r="F48" s="13"/>
      <c r="G48" s="13"/>
    </row>
    <row r="49" spans="1:8" hidden="1" x14ac:dyDescent="0.35">
      <c r="B49" s="19"/>
      <c r="C49" s="12"/>
      <c r="D49" s="11"/>
    </row>
    <row r="50" spans="1:8" ht="7.9" hidden="1" customHeight="1" x14ac:dyDescent="0.35">
      <c r="A50" s="2"/>
      <c r="B50" s="21"/>
      <c r="C50" s="2"/>
      <c r="D50" s="2"/>
      <c r="E50" s="2"/>
      <c r="F50" s="2"/>
      <c r="G50" s="2"/>
    </row>
    <row r="51" spans="1:8" hidden="1" x14ac:dyDescent="0.35">
      <c r="B51" s="19"/>
    </row>
    <row r="52" spans="1:8" ht="33" hidden="1" customHeight="1" x14ac:dyDescent="0.35">
      <c r="B52" s="114" t="s">
        <v>25</v>
      </c>
      <c r="C52" s="305" t="s">
        <v>27</v>
      </c>
      <c r="D52" s="507" t="str">
        <f>IF(Instructions!D2="","Enter Vendor's Software Name In Instruction Sheet",Instructions!D2)</f>
        <v xml:space="preserve">EnergyGauge USA </v>
      </c>
      <c r="E52" s="507"/>
    </row>
    <row r="53" spans="1:8" hidden="1" x14ac:dyDescent="0.35">
      <c r="B53" s="22" t="s">
        <v>76</v>
      </c>
    </row>
    <row r="54" spans="1:8" hidden="1" x14ac:dyDescent="0.35">
      <c r="B54" s="30" t="s">
        <v>112</v>
      </c>
      <c r="C54" s="1"/>
      <c r="D54" s="8" t="s">
        <v>84</v>
      </c>
      <c r="E54" s="8"/>
    </row>
    <row r="55" spans="1:8" hidden="1" x14ac:dyDescent="0.35">
      <c r="B55" s="31" t="s">
        <v>113</v>
      </c>
      <c r="C55" s="3"/>
      <c r="D55" s="3"/>
    </row>
    <row r="56" spans="1:8" hidden="1" x14ac:dyDescent="0.35">
      <c r="B56" s="250" t="str">
        <f>D_T01!B4</f>
        <v>House Pr-T01</v>
      </c>
      <c r="C56" s="10" t="s">
        <v>77</v>
      </c>
      <c r="D56" s="4"/>
      <c r="E56" s="10" t="s">
        <v>243</v>
      </c>
      <c r="F56" s="116" t="s">
        <v>88</v>
      </c>
    </row>
    <row r="57" spans="1:8" ht="15" hidden="1" thickBot="1" x14ac:dyDescent="0.4">
      <c r="B57" s="19"/>
      <c r="C57" s="10" t="s">
        <v>87</v>
      </c>
      <c r="D57" s="10" t="s">
        <v>77</v>
      </c>
      <c r="E57" s="10" t="s">
        <v>86</v>
      </c>
      <c r="F57" s="10" t="s">
        <v>89</v>
      </c>
    </row>
    <row r="58" spans="1:8" ht="15" hidden="1" thickBot="1" x14ac:dyDescent="0.4">
      <c r="B58" s="246" t="str">
        <f>D_T01!B8</f>
        <v>Slab-on-grade Floor</v>
      </c>
      <c r="C58" s="106"/>
      <c r="D58" s="106"/>
      <c r="E58" s="103"/>
      <c r="F58" s="105" t="str">
        <f>IF(E58="Complies","Pass","Fail")</f>
        <v>Fail</v>
      </c>
      <c r="H58" s="9">
        <f>IF(OR(F58="Not applicable",F58="Software Doesn't Check",F58="Pass"),0,1)</f>
        <v>1</v>
      </c>
    </row>
    <row r="59" spans="1:8" ht="15" hidden="1" customHeight="1" thickBot="1" x14ac:dyDescent="0.4">
      <c r="B59" s="247" t="str">
        <f>D_T01!B9</f>
        <v>Roof – gable type- 5 in 12 slope No overhangs</v>
      </c>
      <c r="C59" s="106"/>
      <c r="D59" s="106"/>
      <c r="E59" s="103"/>
      <c r="F59" s="105" t="str">
        <f>IF(E59="Complies","Pass","Fail")</f>
        <v>Fail</v>
      </c>
      <c r="H59" s="9">
        <f t="shared" ref="H59:H93" si="3">IF(OR(F59="Not applicable",F59="Software Doesn't Check",F59="Pass"),0,1)</f>
        <v>1</v>
      </c>
    </row>
    <row r="60" spans="1:8" ht="15" hidden="1" customHeight="1" thickBot="1" x14ac:dyDescent="0.4">
      <c r="B60" s="247" t="str">
        <f>D_T01!B10</f>
        <v>Ceiling1 –flat under attic</v>
      </c>
      <c r="C60" s="103"/>
      <c r="D60" s="103"/>
      <c r="E60" s="103"/>
      <c r="F60" s="105" t="str">
        <f>IF(E60="Complies","Pass","Fail")</f>
        <v>Fail</v>
      </c>
      <c r="H60" s="9">
        <f t="shared" si="3"/>
        <v>1</v>
      </c>
    </row>
    <row r="61" spans="1:8" ht="15" hidden="1" customHeight="1" thickBot="1" x14ac:dyDescent="0.4">
      <c r="B61" s="247" t="str">
        <f>D_T01!B11</f>
        <v xml:space="preserve">        Skylight</v>
      </c>
      <c r="C61" s="106"/>
      <c r="D61" s="216">
        <f>D_T01!E11</f>
        <v>0.65</v>
      </c>
      <c r="E61" s="103"/>
      <c r="F61" s="105" t="str">
        <f>IF(E61="Complies","Pass","Fail")</f>
        <v>Fail</v>
      </c>
      <c r="H61" s="9">
        <f t="shared" si="3"/>
        <v>1</v>
      </c>
    </row>
    <row r="62" spans="1:8" ht="15" hidden="1" customHeight="1" thickBot="1" x14ac:dyDescent="0.4">
      <c r="B62" s="247" t="str">
        <f>D_T01!B12</f>
        <v>Wall 1 –faces North, CBS2</v>
      </c>
      <c r="C62" s="103"/>
      <c r="D62" s="103"/>
      <c r="E62" s="103"/>
      <c r="F62" s="105" t="str">
        <f>IF(E62="Complies","Pass","Fail")</f>
        <v>Fail</v>
      </c>
      <c r="H62" s="9">
        <f t="shared" si="3"/>
        <v>1</v>
      </c>
    </row>
    <row r="63" spans="1:8" ht="15" hidden="1" customHeight="1" thickBot="1" x14ac:dyDescent="0.4">
      <c r="B63" s="247" t="str">
        <f>D_T01!B13</f>
        <v xml:space="preserve">        Door 1 - </v>
      </c>
      <c r="C63" s="106"/>
      <c r="D63" s="405">
        <f>D_T01!E13</f>
        <v>0.4</v>
      </c>
      <c r="E63" s="110" t="s">
        <v>63</v>
      </c>
      <c r="F63" s="105" t="s">
        <v>63</v>
      </c>
      <c r="H63" s="9">
        <f t="shared" si="3"/>
        <v>0</v>
      </c>
    </row>
    <row r="64" spans="1:8" ht="15" hidden="1" customHeight="1" thickBot="1" x14ac:dyDescent="0.4">
      <c r="B64" s="247" t="str">
        <f>D_T01!B14</f>
        <v xml:space="preserve">        Window 1 – Vinyl Frame Low-e Double</v>
      </c>
      <c r="C64" s="106"/>
      <c r="D64" s="405">
        <f>D_T01!E14</f>
        <v>0.4</v>
      </c>
      <c r="E64" s="110" t="s">
        <v>63</v>
      </c>
      <c r="F64" s="105" t="s">
        <v>63</v>
      </c>
      <c r="H64" s="9">
        <f t="shared" si="3"/>
        <v>0</v>
      </c>
    </row>
    <row r="65" spans="2:8" ht="15" hidden="1" customHeight="1" thickBot="1" x14ac:dyDescent="0.4">
      <c r="B65" s="247" t="str">
        <f>D_T01!B15</f>
        <v>Wall 2 –faces East, CBS</v>
      </c>
      <c r="C65" s="103"/>
      <c r="D65" s="103"/>
      <c r="E65" s="103"/>
      <c r="F65" s="105" t="str">
        <f>IF(E65="Complies","Pass","Fail")</f>
        <v>Fail</v>
      </c>
      <c r="H65" s="9">
        <f t="shared" si="3"/>
        <v>1</v>
      </c>
    </row>
    <row r="66" spans="2:8" ht="15" hidden="1" customHeight="1" thickBot="1" x14ac:dyDescent="0.4">
      <c r="B66" s="247" t="str">
        <f>D_T01!B16</f>
        <v xml:space="preserve">        Window 2 – Vinyl Frame Low-e Double</v>
      </c>
      <c r="C66" s="106"/>
      <c r="D66" s="405">
        <f>D_T01!E16</f>
        <v>0.4</v>
      </c>
      <c r="E66" s="110" t="s">
        <v>63</v>
      </c>
      <c r="F66" s="105" t="s">
        <v>63</v>
      </c>
      <c r="H66" s="9">
        <f t="shared" si="3"/>
        <v>0</v>
      </c>
    </row>
    <row r="67" spans="2:8" ht="15" hidden="1" customHeight="1" thickBot="1" x14ac:dyDescent="0.4">
      <c r="B67" s="247" t="str">
        <f>D_T01!B17</f>
        <v>Wall 3 –faces South, CBS</v>
      </c>
      <c r="C67" s="103"/>
      <c r="D67" s="103"/>
      <c r="E67" s="103"/>
      <c r="F67" s="105" t="str">
        <f>IF(E67="Complies","Pass","Fail")</f>
        <v>Fail</v>
      </c>
      <c r="H67" s="9">
        <f t="shared" si="3"/>
        <v>1</v>
      </c>
    </row>
    <row r="68" spans="2:8" ht="15" hidden="1" customHeight="1" thickBot="1" x14ac:dyDescent="0.4">
      <c r="B68" s="247" t="str">
        <f>D_T01!B18</f>
        <v xml:space="preserve">        Window 3 – Vinyl Frame Low-e Double</v>
      </c>
      <c r="C68" s="106"/>
      <c r="D68" s="405">
        <f>D_T01!E18</f>
        <v>0.4</v>
      </c>
      <c r="E68" s="110" t="s">
        <v>63</v>
      </c>
      <c r="F68" s="105" t="s">
        <v>63</v>
      </c>
      <c r="H68" s="9">
        <f t="shared" si="3"/>
        <v>0</v>
      </c>
    </row>
    <row r="69" spans="2:8" ht="15" hidden="1" customHeight="1" thickBot="1" x14ac:dyDescent="0.4">
      <c r="B69" s="247" t="str">
        <f>D_T01!B19</f>
        <v>Wall 4 –faces South, Wood3 2x4 Stud</v>
      </c>
      <c r="C69" s="103"/>
      <c r="D69" s="103"/>
      <c r="E69" s="103"/>
      <c r="F69" s="105" t="str">
        <f>IF(E69="U-Factor too high","Pass","Fail")</f>
        <v>Fail</v>
      </c>
      <c r="H69" s="9">
        <f t="shared" si="3"/>
        <v>1</v>
      </c>
    </row>
    <row r="70" spans="2:8" ht="15" hidden="1" customHeight="1" thickBot="1" x14ac:dyDescent="0.4">
      <c r="B70" s="247" t="str">
        <f>D_T01!B20</f>
        <v xml:space="preserve">        Window 4 – Vinyl Frame  Low-e Double</v>
      </c>
      <c r="C70" s="106"/>
      <c r="D70" s="405">
        <f>D_T01!E20</f>
        <v>0.4</v>
      </c>
      <c r="E70" s="110" t="s">
        <v>63</v>
      </c>
      <c r="F70" s="105" t="s">
        <v>63</v>
      </c>
      <c r="H70" s="9">
        <f t="shared" si="3"/>
        <v>0</v>
      </c>
    </row>
    <row r="71" spans="2:8" ht="15" hidden="1" customHeight="1" thickBot="1" x14ac:dyDescent="0.4">
      <c r="B71" s="247" t="str">
        <f>D_T01!B21</f>
        <v>Wall 5 –faces West, CBS</v>
      </c>
      <c r="C71" s="103"/>
      <c r="D71" s="103"/>
      <c r="E71" s="103"/>
      <c r="F71" s="105" t="str">
        <f>IF(E71="Complies","Pass","Fail")</f>
        <v>Fail</v>
      </c>
      <c r="H71" s="9">
        <f t="shared" si="3"/>
        <v>1</v>
      </c>
    </row>
    <row r="72" spans="2:8" ht="15" hidden="1" customHeight="1" thickBot="1" x14ac:dyDescent="0.4">
      <c r="B72" s="247" t="str">
        <f>D_T01!B22</f>
        <v xml:space="preserve">        Window 5 – Vinyl Frame Low-e Double</v>
      </c>
      <c r="C72" s="106"/>
      <c r="D72" s="405">
        <f>D_T01!E22</f>
        <v>0.4</v>
      </c>
      <c r="E72" s="110" t="s">
        <v>63</v>
      </c>
      <c r="F72" s="105" t="s">
        <v>63</v>
      </c>
      <c r="H72" s="9">
        <f t="shared" si="3"/>
        <v>0</v>
      </c>
    </row>
    <row r="73" spans="2:8" ht="15" hidden="1" customHeight="1" thickBot="1" x14ac:dyDescent="0.4">
      <c r="B73" s="247" t="str">
        <f>D_T01!B23</f>
        <v>Infiltration</v>
      </c>
      <c r="C73" s="106"/>
      <c r="D73" s="106"/>
      <c r="E73" s="112"/>
      <c r="F73" s="105" t="str">
        <f>IF(E73="Complies","Pass",IF(E73="Not part of software","Software Doesn't Check","Fail"))</f>
        <v>Fail</v>
      </c>
      <c r="H73" s="9">
        <f t="shared" si="3"/>
        <v>1</v>
      </c>
    </row>
    <row r="74" spans="2:8" ht="15" hidden="1" customHeight="1" thickBot="1" x14ac:dyDescent="0.4">
      <c r="B74" s="247" t="str">
        <f>D_T01!B24</f>
        <v>Heating – heat pump</v>
      </c>
      <c r="C74" s="106"/>
      <c r="D74" s="106"/>
      <c r="E74" s="113"/>
      <c r="F74" s="105" t="str">
        <f>IF(E74="Complies","Pass",IF(E74="Not part of software","Software Doesn't Check","Fail"))</f>
        <v>Fail</v>
      </c>
      <c r="H74" s="9">
        <f t="shared" si="3"/>
        <v>1</v>
      </c>
    </row>
    <row r="75" spans="2:8" ht="15" hidden="1" customHeight="1" thickBot="1" x14ac:dyDescent="0.4">
      <c r="B75" s="247" t="str">
        <f>D_T01!B25</f>
        <v>Cooling – heat pump</v>
      </c>
      <c r="C75" s="106"/>
      <c r="D75" s="106"/>
      <c r="E75" s="112"/>
      <c r="F75" s="105" t="str">
        <f>IF(E75="Complies","Pass",IF(E75="Not part of software","Software Doesn't Check","Fail"))</f>
        <v>Fail</v>
      </c>
      <c r="H75" s="9">
        <f t="shared" si="3"/>
        <v>1</v>
      </c>
    </row>
    <row r="76" spans="2:8" ht="15" hidden="1" customHeight="1" thickBot="1" x14ac:dyDescent="0.4">
      <c r="B76" s="247" t="str">
        <f>D_T01!B26</f>
        <v>Ducts – supply in attic</v>
      </c>
      <c r="C76" s="106"/>
      <c r="D76" s="106"/>
      <c r="E76" s="112"/>
      <c r="F76" s="105" t="str">
        <f>IF(E76="Complies","Pass",IF(E76="Not part of software","Software Doesn't Check","Fail"))</f>
        <v>Fail</v>
      </c>
      <c r="G76" s="256" t="s">
        <v>423</v>
      </c>
      <c r="H76" s="9">
        <f t="shared" si="3"/>
        <v>1</v>
      </c>
    </row>
    <row r="77" spans="2:8" ht="15" hidden="1" customHeight="1" thickBot="1" x14ac:dyDescent="0.4">
      <c r="B77" s="247" t="str">
        <f>D_T01!B27</f>
        <v>Ducts – Return in Conditioned Space</v>
      </c>
      <c r="C77" s="106"/>
      <c r="D77" s="106"/>
      <c r="E77" s="112"/>
      <c r="F77" s="105" t="str">
        <f t="shared" ref="F77:F85" si="4">IF(E77="Complies","Pass",IF(E77="Not part of software","Software Doesn't Check","Fail"))</f>
        <v>Fail</v>
      </c>
      <c r="H77" s="9">
        <f t="shared" si="3"/>
        <v>1</v>
      </c>
    </row>
    <row r="78" spans="2:8" ht="15" hidden="1" customHeight="1" thickBot="1" x14ac:dyDescent="0.4">
      <c r="B78" s="247" t="str">
        <f>D_T01!B28</f>
        <v>Duct Tightness</v>
      </c>
      <c r="C78" s="106"/>
      <c r="D78" s="106"/>
      <c r="E78" s="112"/>
      <c r="F78" s="105" t="str">
        <f t="shared" si="4"/>
        <v>Fail</v>
      </c>
      <c r="H78" s="9">
        <f t="shared" si="3"/>
        <v>1</v>
      </c>
    </row>
    <row r="79" spans="2:8" ht="15" hidden="1" customHeight="1" thickBot="1" x14ac:dyDescent="0.4">
      <c r="B79" s="247" t="str">
        <f>D_T01!B29</f>
        <v>Air Handler – in Conditioned Space</v>
      </c>
      <c r="C79" s="106"/>
      <c r="D79" s="106"/>
      <c r="E79" s="112"/>
      <c r="F79" s="105" t="str">
        <f t="shared" si="4"/>
        <v>Fail</v>
      </c>
      <c r="H79" s="9">
        <f t="shared" si="3"/>
        <v>1</v>
      </c>
    </row>
    <row r="80" spans="2:8" ht="15" hidden="1" customHeight="1" thickBot="1" x14ac:dyDescent="0.4">
      <c r="B80" s="247" t="str">
        <f>D_T01!B30</f>
        <v>Mechanical Ventilation</v>
      </c>
      <c r="C80" s="106"/>
      <c r="D80" s="106"/>
      <c r="E80" s="103"/>
      <c r="F80" s="105" t="str">
        <f t="shared" si="4"/>
        <v>Fail</v>
      </c>
      <c r="H80" s="9">
        <f t="shared" si="3"/>
        <v>1</v>
      </c>
    </row>
    <row r="81" spans="1:8" ht="15" hidden="1" customHeight="1" thickBot="1" x14ac:dyDescent="0.4">
      <c r="B81" s="247" t="str">
        <f>D_T01!B31</f>
        <v>Hot Water System - electric</v>
      </c>
      <c r="C81" s="106"/>
      <c r="D81" s="106"/>
      <c r="E81" s="112"/>
      <c r="F81" s="105" t="str">
        <f t="shared" si="4"/>
        <v>Fail</v>
      </c>
      <c r="H81" s="9">
        <f t="shared" si="3"/>
        <v>1</v>
      </c>
    </row>
    <row r="82" spans="1:8" ht="15" hidden="1" customHeight="1" thickBot="1" x14ac:dyDescent="0.4">
      <c r="B82" s="247" t="str">
        <f>D_T01!B32</f>
        <v>All Hot Water Lines</v>
      </c>
      <c r="C82" s="106"/>
      <c r="D82" s="106"/>
      <c r="E82" s="112"/>
      <c r="F82" s="105" t="str">
        <f t="shared" si="4"/>
        <v>Fail</v>
      </c>
      <c r="H82" s="9">
        <f t="shared" si="3"/>
        <v>1</v>
      </c>
    </row>
    <row r="83" spans="1:8" ht="15" hidden="1" customHeight="1" thickBot="1" x14ac:dyDescent="0.4">
      <c r="B83" s="247" t="str">
        <f>D_T01!B33</f>
        <v>Hot Water Circulation -none</v>
      </c>
      <c r="C83" s="106"/>
      <c r="D83" s="106"/>
      <c r="E83" s="112"/>
      <c r="F83" s="105" t="str">
        <f t="shared" si="4"/>
        <v>Fail</v>
      </c>
      <c r="H83" s="9">
        <f t="shared" si="3"/>
        <v>1</v>
      </c>
    </row>
    <row r="84" spans="1:8" ht="15" hidden="1" customHeight="1" thickBot="1" x14ac:dyDescent="0.4">
      <c r="B84" s="247" t="str">
        <f>D_T01!B34</f>
        <v>Lighting</v>
      </c>
      <c r="C84" s="106"/>
      <c r="D84" s="106"/>
      <c r="E84" s="112"/>
      <c r="F84" s="105" t="str">
        <f t="shared" si="4"/>
        <v>Fail</v>
      </c>
      <c r="H84" s="9">
        <f t="shared" si="3"/>
        <v>1</v>
      </c>
    </row>
    <row r="85" spans="1:8" ht="15" hidden="1" customHeight="1" thickBot="1" x14ac:dyDescent="0.4">
      <c r="B85" s="247" t="str">
        <f>D_T01!B35</f>
        <v>Pool and Spa - none</v>
      </c>
      <c r="C85" s="106"/>
      <c r="D85" s="106"/>
      <c r="E85" s="112"/>
      <c r="F85" s="105" t="str">
        <f t="shared" si="4"/>
        <v>Fail</v>
      </c>
      <c r="H85" s="9">
        <f t="shared" si="3"/>
        <v>1</v>
      </c>
    </row>
    <row r="86" spans="1:8" ht="15" hidden="1" customHeight="1" thickBot="1" x14ac:dyDescent="0.4">
      <c r="B86" s="248" t="str">
        <f>D_T01!B38</f>
        <v>Area Weighted Fenestration U-Factor Value</v>
      </c>
      <c r="C86" s="106"/>
      <c r="D86" s="106"/>
      <c r="E86" s="104"/>
      <c r="F86" s="105" t="str">
        <f>IF(E86&gt;UA_T01!O27,IF(E86&lt;=UA_T01!O28,"Pass","Fail"),"Fail")</f>
        <v>Fail</v>
      </c>
      <c r="H86" s="9">
        <f t="shared" si="3"/>
        <v>1</v>
      </c>
    </row>
    <row r="87" spans="1:8" ht="15" hidden="1" customHeight="1" thickBot="1" x14ac:dyDescent="0.4">
      <c r="B87" s="248" t="str">
        <f>D_T01!B39</f>
        <v>Area Weighted Fenestration SHGC Value</v>
      </c>
      <c r="C87" s="106"/>
      <c r="D87" s="106"/>
      <c r="E87" s="103"/>
      <c r="F87" s="105" t="str">
        <f>IF(E87&gt;UA_T01!S27,IF(E87&lt;=UA_T01!S28,"Pass","Fail"),"Fail")</f>
        <v>Fail</v>
      </c>
      <c r="H87" s="9">
        <f t="shared" si="3"/>
        <v>1</v>
      </c>
    </row>
    <row r="88" spans="1:8" ht="15" hidden="1" customHeight="1" thickBot="1" x14ac:dyDescent="0.4">
      <c r="B88" s="248" t="str">
        <f>D_T01!B40</f>
        <v>Total Thermal Envelope UA Value</v>
      </c>
      <c r="C88" s="106"/>
      <c r="D88" s="106"/>
      <c r="E88" s="110" t="s">
        <v>63</v>
      </c>
      <c r="F88" s="105" t="s">
        <v>63</v>
      </c>
      <c r="H88" s="9">
        <f t="shared" si="3"/>
        <v>0</v>
      </c>
    </row>
    <row r="89" spans="1:8" ht="15" hidden="1" customHeight="1" thickBot="1" x14ac:dyDescent="0.4">
      <c r="B89" s="248" t="str">
        <f>D_T01!B41</f>
        <v>Area Weighted Fenestration U-Factor Result</v>
      </c>
      <c r="C89" s="106"/>
      <c r="D89" s="110"/>
      <c r="E89" s="103"/>
      <c r="F89" s="105" t="str">
        <f>IF(E89="Average U too high","Pass","Fail")</f>
        <v>Fail</v>
      </c>
      <c r="H89" s="9">
        <f t="shared" si="3"/>
        <v>1</v>
      </c>
    </row>
    <row r="90" spans="1:8" ht="15" hidden="1" customHeight="1" thickBot="1" x14ac:dyDescent="0.4">
      <c r="B90" s="248" t="str">
        <f>D_T01!B42</f>
        <v>Area Weighted Fenestration SHGC Result</v>
      </c>
      <c r="C90" s="106"/>
      <c r="D90" s="110"/>
      <c r="E90" s="103"/>
      <c r="F90" s="105" t="str">
        <f>IF(E90="Complies","Pass","Fail")</f>
        <v>Fail</v>
      </c>
      <c r="H90" s="9">
        <f t="shared" si="3"/>
        <v>1</v>
      </c>
    </row>
    <row r="91" spans="1:8" ht="15" hidden="1" customHeight="1" thickBot="1" x14ac:dyDescent="0.4">
      <c r="B91" s="248" t="str">
        <f>D_T01!B43</f>
        <v>Baseline Thermal Envelope UA Value</v>
      </c>
      <c r="C91" s="106"/>
      <c r="D91" s="110"/>
      <c r="E91" s="110" t="s">
        <v>63</v>
      </c>
      <c r="F91" s="105" t="s">
        <v>63</v>
      </c>
      <c r="H91" s="9">
        <f t="shared" si="3"/>
        <v>0</v>
      </c>
    </row>
    <row r="92" spans="1:8" ht="15" hidden="1" customHeight="1" thickBot="1" x14ac:dyDescent="0.4">
      <c r="B92" s="248" t="str">
        <f>D_T01!B44</f>
        <v>Total Thermal Envelope UA Result</v>
      </c>
      <c r="C92" s="106"/>
      <c r="D92" s="110"/>
      <c r="E92" s="110" t="s">
        <v>63</v>
      </c>
      <c r="F92" s="105" t="s">
        <v>63</v>
      </c>
      <c r="H92" s="9">
        <f t="shared" si="3"/>
        <v>0</v>
      </c>
    </row>
    <row r="93" spans="1:8" ht="15" hidden="1" customHeight="1" thickBot="1" x14ac:dyDescent="0.4">
      <c r="B93" s="248" t="str">
        <f>D_T01!B45</f>
        <v>House Complies?</v>
      </c>
      <c r="C93" s="106"/>
      <c r="D93" s="110"/>
      <c r="E93" s="103"/>
      <c r="F93" s="105" t="str">
        <f>IF(E93="No","Pass","Fail")</f>
        <v>Fail</v>
      </c>
      <c r="H93" s="9">
        <f t="shared" si="3"/>
        <v>1</v>
      </c>
    </row>
    <row r="94" spans="1:8" ht="21" hidden="1" customHeight="1" x14ac:dyDescent="0.6">
      <c r="B94" s="19"/>
      <c r="E94" s="24" t="s">
        <v>85</v>
      </c>
      <c r="F94" s="16" t="str">
        <f>IF(H94&gt;0,"FAIL","PASS")</f>
        <v>FAIL</v>
      </c>
      <c r="H94" s="256">
        <f xml:space="preserve"> SUM(H58:H93)</f>
        <v>27</v>
      </c>
    </row>
    <row r="95" spans="1:8" ht="7.9" hidden="1" customHeight="1" x14ac:dyDescent="0.35">
      <c r="A95" s="2"/>
      <c r="B95" s="21"/>
      <c r="C95" s="2"/>
      <c r="D95" s="2"/>
      <c r="E95" s="25"/>
      <c r="F95" s="2"/>
    </row>
    <row r="96" spans="1:8" hidden="1" x14ac:dyDescent="0.35">
      <c r="B96" s="19"/>
      <c r="E96" s="26"/>
    </row>
    <row r="97" spans="1:8" ht="7.9" customHeight="1" x14ac:dyDescent="0.35">
      <c r="A97" s="14"/>
      <c r="B97" s="23"/>
      <c r="C97" s="14"/>
      <c r="D97" s="14"/>
      <c r="E97" s="27"/>
      <c r="F97" s="14"/>
    </row>
    <row r="98" spans="1:8" x14ac:dyDescent="0.35">
      <c r="B98" s="19"/>
      <c r="E98" s="26"/>
    </row>
    <row r="99" spans="1:8" ht="32.25" customHeight="1" x14ac:dyDescent="0.35">
      <c r="B99" s="115" t="s">
        <v>25</v>
      </c>
      <c r="C99" s="258" t="s">
        <v>27</v>
      </c>
      <c r="D99" s="507" t="str">
        <f>IF(Instructions!D2="","Enter Vendor's Software Name In Instruction Sheet",Instructions!D2)</f>
        <v xml:space="preserve">EnergyGauge USA </v>
      </c>
      <c r="E99" s="507"/>
    </row>
    <row r="100" spans="1:8" x14ac:dyDescent="0.35">
      <c r="B100" s="22" t="s">
        <v>79</v>
      </c>
      <c r="E100" s="26"/>
    </row>
    <row r="101" spans="1:8" x14ac:dyDescent="0.35">
      <c r="B101" s="30" t="s">
        <v>112</v>
      </c>
      <c r="C101" s="1"/>
      <c r="D101" s="8" t="s">
        <v>84</v>
      </c>
      <c r="E101" s="28"/>
    </row>
    <row r="102" spans="1:8" x14ac:dyDescent="0.35">
      <c r="B102" s="31" t="s">
        <v>113</v>
      </c>
      <c r="C102" s="3"/>
      <c r="D102" s="3"/>
      <c r="E102" s="26"/>
    </row>
    <row r="103" spans="1:8" x14ac:dyDescent="0.35">
      <c r="B103" s="250" t="str">
        <f>D_T01!B4</f>
        <v>House Pr-T01</v>
      </c>
      <c r="C103" s="10" t="s">
        <v>77</v>
      </c>
      <c r="D103" s="10"/>
      <c r="E103" s="29" t="s">
        <v>243</v>
      </c>
      <c r="F103" s="116" t="s">
        <v>88</v>
      </c>
    </row>
    <row r="104" spans="1:8" ht="15" thickBot="1" x14ac:dyDescent="0.4">
      <c r="B104" s="19"/>
      <c r="C104" s="10" t="s">
        <v>87</v>
      </c>
      <c r="D104" s="10" t="s">
        <v>77</v>
      </c>
      <c r="E104" s="29" t="s">
        <v>86</v>
      </c>
      <c r="F104" s="116" t="s">
        <v>90</v>
      </c>
    </row>
    <row r="105" spans="1:8" ht="15" thickBot="1" x14ac:dyDescent="0.4">
      <c r="B105" s="246" t="str">
        <f>D_T01!B8</f>
        <v>Slab-on-grade Floor</v>
      </c>
      <c r="C105" s="106"/>
      <c r="D105" s="106"/>
      <c r="E105" s="110" t="s">
        <v>63</v>
      </c>
      <c r="F105" s="464" t="s">
        <v>63</v>
      </c>
      <c r="H105" s="9">
        <f t="shared" ref="H105:H140" si="5">IF(OR(F105="Not applicable",F105="Software Doesn't Check",F105="Pass"),0,1)</f>
        <v>0</v>
      </c>
    </row>
    <row r="106" spans="1:8" ht="15" thickBot="1" x14ac:dyDescent="0.4">
      <c r="B106" s="247" t="str">
        <f>D_T01!B9</f>
        <v>Roof – gable type- 5 in 12 slope No overhangs</v>
      </c>
      <c r="C106" s="106"/>
      <c r="D106" s="106"/>
      <c r="E106" s="110" t="s">
        <v>63</v>
      </c>
      <c r="F106" s="464" t="s">
        <v>63</v>
      </c>
      <c r="H106" s="9">
        <f t="shared" si="5"/>
        <v>0</v>
      </c>
    </row>
    <row r="107" spans="1:8" ht="15" thickBot="1" x14ac:dyDescent="0.4">
      <c r="B107" s="247" t="str">
        <f>D_T01!B10</f>
        <v>Ceiling1 –flat under attic</v>
      </c>
      <c r="C107" s="103" t="s">
        <v>118</v>
      </c>
      <c r="D107" s="103">
        <v>3.5000000000000003E-2</v>
      </c>
      <c r="E107" s="110" t="s">
        <v>63</v>
      </c>
      <c r="F107" s="464" t="s">
        <v>63</v>
      </c>
      <c r="H107" s="9">
        <f t="shared" si="5"/>
        <v>0</v>
      </c>
    </row>
    <row r="108" spans="1:8" ht="15" thickBot="1" x14ac:dyDescent="0.4">
      <c r="B108" s="247" t="str">
        <f>D_T01!B11</f>
        <v xml:space="preserve">        Skylight</v>
      </c>
      <c r="C108" s="110"/>
      <c r="D108" s="217">
        <f>D_T01!E11</f>
        <v>0.65</v>
      </c>
      <c r="E108" s="103" t="s">
        <v>93</v>
      </c>
      <c r="F108" s="464" t="str">
        <f>IF(E108="Complies","Pass","Fail")</f>
        <v>Pass</v>
      </c>
      <c r="H108" s="9">
        <f t="shared" si="5"/>
        <v>0</v>
      </c>
    </row>
    <row r="109" spans="1:8" ht="15" thickBot="1" x14ac:dyDescent="0.4">
      <c r="B109" s="247" t="str">
        <f>D_T01!B12</f>
        <v>Wall 1 –faces North, CBS2</v>
      </c>
      <c r="C109" s="103" t="s">
        <v>81</v>
      </c>
      <c r="D109" s="103">
        <v>0.10199999999999999</v>
      </c>
      <c r="E109" s="110" t="s">
        <v>63</v>
      </c>
      <c r="F109" s="464" t="s">
        <v>63</v>
      </c>
      <c r="H109" s="9">
        <f t="shared" si="5"/>
        <v>0</v>
      </c>
    </row>
    <row r="110" spans="1:8" ht="15" thickBot="1" x14ac:dyDescent="0.4">
      <c r="B110" s="247" t="str">
        <f>D_T01!B13</f>
        <v xml:space="preserve">        Door 1 - </v>
      </c>
      <c r="C110" s="110"/>
      <c r="D110" s="406">
        <f>D_T01!E13</f>
        <v>0.4</v>
      </c>
      <c r="E110" s="110" t="s">
        <v>63</v>
      </c>
      <c r="F110" s="464" t="s">
        <v>63</v>
      </c>
      <c r="H110" s="9">
        <f t="shared" si="5"/>
        <v>0</v>
      </c>
    </row>
    <row r="111" spans="1:8" ht="15" thickBot="1" x14ac:dyDescent="0.4">
      <c r="B111" s="247" t="str">
        <f>D_T01!B14</f>
        <v xml:space="preserve">        Window 1 – Vinyl Frame Low-e Double</v>
      </c>
      <c r="C111" s="110"/>
      <c r="D111" s="406">
        <f>D_T01!E14</f>
        <v>0.4</v>
      </c>
      <c r="E111" s="110" t="s">
        <v>63</v>
      </c>
      <c r="F111" s="464" t="s">
        <v>63</v>
      </c>
      <c r="H111" s="9">
        <f t="shared" si="5"/>
        <v>0</v>
      </c>
    </row>
    <row r="112" spans="1:8" ht="15" thickBot="1" x14ac:dyDescent="0.4">
      <c r="B112" s="247" t="str">
        <f>D_T01!B15</f>
        <v>Wall 2 –faces East, CBS</v>
      </c>
      <c r="C112" s="103" t="s">
        <v>81</v>
      </c>
      <c r="D112" s="103">
        <v>0.10199999999999999</v>
      </c>
      <c r="E112" s="110" t="s">
        <v>63</v>
      </c>
      <c r="F112" s="464" t="s">
        <v>63</v>
      </c>
      <c r="H112" s="9">
        <f t="shared" si="5"/>
        <v>0</v>
      </c>
    </row>
    <row r="113" spans="2:8" ht="15" thickBot="1" x14ac:dyDescent="0.4">
      <c r="B113" s="247" t="str">
        <f>D_T01!B16</f>
        <v xml:space="preserve">        Window 2 – Vinyl Frame Low-e Double</v>
      </c>
      <c r="C113" s="110"/>
      <c r="D113" s="406">
        <f>D_T01!E16</f>
        <v>0.4</v>
      </c>
      <c r="E113" s="110" t="s">
        <v>63</v>
      </c>
      <c r="F113" s="464" t="s">
        <v>63</v>
      </c>
      <c r="H113" s="9">
        <f t="shared" si="5"/>
        <v>0</v>
      </c>
    </row>
    <row r="114" spans="2:8" ht="15" thickBot="1" x14ac:dyDescent="0.4">
      <c r="B114" s="247" t="str">
        <f>D_T01!B17</f>
        <v>Wall 3 –faces South, CBS</v>
      </c>
      <c r="C114" s="103" t="s">
        <v>81</v>
      </c>
      <c r="D114" s="103">
        <v>0.10199999999999999</v>
      </c>
      <c r="E114" s="110" t="s">
        <v>63</v>
      </c>
      <c r="F114" s="464" t="s">
        <v>63</v>
      </c>
      <c r="H114" s="9">
        <f t="shared" si="5"/>
        <v>0</v>
      </c>
    </row>
    <row r="115" spans="2:8" ht="15" thickBot="1" x14ac:dyDescent="0.4">
      <c r="B115" s="247" t="str">
        <f>D_T01!B18</f>
        <v xml:space="preserve">        Window 3 – Vinyl Frame Low-e Double</v>
      </c>
      <c r="C115" s="110"/>
      <c r="D115" s="406">
        <f>D_T01!E18</f>
        <v>0.4</v>
      </c>
      <c r="E115" s="110" t="s">
        <v>63</v>
      </c>
      <c r="F115" s="464" t="s">
        <v>63</v>
      </c>
      <c r="H115" s="9">
        <f t="shared" si="5"/>
        <v>0</v>
      </c>
    </row>
    <row r="116" spans="2:8" ht="15" thickBot="1" x14ac:dyDescent="0.4">
      <c r="B116" s="247" t="str">
        <f>D_T01!B19</f>
        <v>Wall 4 –faces South, Wood3 2x4 Stud</v>
      </c>
      <c r="C116" s="103" t="s">
        <v>81</v>
      </c>
      <c r="D116" s="103">
        <v>8.5999999999999993E-2</v>
      </c>
      <c r="E116" s="110" t="s">
        <v>63</v>
      </c>
      <c r="F116" s="464" t="s">
        <v>63</v>
      </c>
      <c r="H116" s="9">
        <f t="shared" si="5"/>
        <v>0</v>
      </c>
    </row>
    <row r="117" spans="2:8" ht="15" thickBot="1" x14ac:dyDescent="0.4">
      <c r="B117" s="247" t="str">
        <f>D_T01!B20</f>
        <v xml:space="preserve">        Window 4 – Vinyl Frame  Low-e Double</v>
      </c>
      <c r="C117" s="110"/>
      <c r="D117" s="406">
        <f>D_T01!E20</f>
        <v>0.4</v>
      </c>
      <c r="E117" s="110" t="s">
        <v>63</v>
      </c>
      <c r="F117" s="464" t="s">
        <v>63</v>
      </c>
      <c r="H117" s="9">
        <f t="shared" si="5"/>
        <v>0</v>
      </c>
    </row>
    <row r="118" spans="2:8" ht="15" thickBot="1" x14ac:dyDescent="0.4">
      <c r="B118" s="247" t="str">
        <f>D_T01!B21</f>
        <v>Wall 5 –faces West, CBS</v>
      </c>
      <c r="C118" s="103" t="s">
        <v>81</v>
      </c>
      <c r="D118" s="103">
        <v>0.10199999999999999</v>
      </c>
      <c r="E118" s="110" t="s">
        <v>63</v>
      </c>
      <c r="F118" s="464" t="s">
        <v>63</v>
      </c>
      <c r="H118" s="9">
        <f t="shared" si="5"/>
        <v>0</v>
      </c>
    </row>
    <row r="119" spans="2:8" ht="15" thickBot="1" x14ac:dyDescent="0.4">
      <c r="B119" s="247" t="str">
        <f>D_T01!B22</f>
        <v xml:space="preserve">        Window 5 – Vinyl Frame Low-e Double</v>
      </c>
      <c r="C119" s="106"/>
      <c r="D119" s="405">
        <f>D_T01!E22</f>
        <v>0.4</v>
      </c>
      <c r="E119" s="110" t="s">
        <v>63</v>
      </c>
      <c r="F119" s="464" t="s">
        <v>63</v>
      </c>
      <c r="H119" s="9">
        <f t="shared" si="5"/>
        <v>0</v>
      </c>
    </row>
    <row r="120" spans="2:8" ht="15" thickBot="1" x14ac:dyDescent="0.4">
      <c r="B120" s="247" t="str">
        <f>D_T01!B23</f>
        <v>Infiltration</v>
      </c>
      <c r="C120" s="106"/>
      <c r="D120" s="106"/>
      <c r="E120" s="112" t="s">
        <v>93</v>
      </c>
      <c r="F120" s="105" t="str">
        <f>IF(E120="Complies","Pass",IF(E120="Not part of software","Software Doesn't Check","Fail"))</f>
        <v>Pass</v>
      </c>
      <c r="H120" s="9">
        <f t="shared" si="5"/>
        <v>0</v>
      </c>
    </row>
    <row r="121" spans="2:8" ht="15" thickBot="1" x14ac:dyDescent="0.4">
      <c r="B121" s="247" t="str">
        <f>D_T01!B24</f>
        <v>Heating – heat pump</v>
      </c>
      <c r="C121" s="106"/>
      <c r="D121" s="106"/>
      <c r="E121" s="113" t="s">
        <v>93</v>
      </c>
      <c r="F121" s="105" t="str">
        <f>IF(E121="Complies","Pass",IF(E121="Not part of software","Software Doesn't Check","Fail"))</f>
        <v>Pass</v>
      </c>
      <c r="H121" s="9">
        <f t="shared" si="5"/>
        <v>0</v>
      </c>
    </row>
    <row r="122" spans="2:8" ht="15" thickBot="1" x14ac:dyDescent="0.4">
      <c r="B122" s="247" t="str">
        <f>D_T01!B25</f>
        <v>Cooling – heat pump</v>
      </c>
      <c r="C122" s="106"/>
      <c r="D122" s="106"/>
      <c r="E122" s="112" t="s">
        <v>93</v>
      </c>
      <c r="F122" s="105" t="str">
        <f>IF(E122="Complies","Pass",IF(E122="Not part of software","Software Doesn't Check","Fail"))</f>
        <v>Pass</v>
      </c>
      <c r="H122" s="9">
        <f t="shared" si="5"/>
        <v>0</v>
      </c>
    </row>
    <row r="123" spans="2:8" ht="15" thickBot="1" x14ac:dyDescent="0.4">
      <c r="B123" s="247" t="str">
        <f>D_T01!B26</f>
        <v>Ducts – supply in attic</v>
      </c>
      <c r="C123" s="106"/>
      <c r="D123" s="106"/>
      <c r="E123" s="112" t="s">
        <v>93</v>
      </c>
      <c r="F123" s="105" t="str">
        <f>IF(E123="Complies","Pass",IF(E123="Not part of software","Software Doesn't Check","Fail"))</f>
        <v>Pass</v>
      </c>
      <c r="G123" s="256" t="s">
        <v>423</v>
      </c>
      <c r="H123" s="9">
        <f t="shared" si="5"/>
        <v>0</v>
      </c>
    </row>
    <row r="124" spans="2:8" ht="15" thickBot="1" x14ac:dyDescent="0.4">
      <c r="B124" s="247" t="str">
        <f>D_T01!B27</f>
        <v>Ducts – Return in Conditioned Space</v>
      </c>
      <c r="C124" s="106"/>
      <c r="D124" s="106"/>
      <c r="E124" s="112" t="s">
        <v>93</v>
      </c>
      <c r="F124" s="105" t="str">
        <f t="shared" ref="F124:F132" si="6">IF(E124="Complies","Pass",IF(E124="Not part of software","Software Doesn't Check","Fail"))</f>
        <v>Pass</v>
      </c>
      <c r="H124" s="9">
        <f t="shared" si="5"/>
        <v>0</v>
      </c>
    </row>
    <row r="125" spans="2:8" ht="15" thickBot="1" x14ac:dyDescent="0.4">
      <c r="B125" s="247" t="str">
        <f>D_T01!B28</f>
        <v>Duct Tightness</v>
      </c>
      <c r="C125" s="106"/>
      <c r="D125" s="106"/>
      <c r="E125" s="112" t="s">
        <v>93</v>
      </c>
      <c r="F125" s="105" t="str">
        <f t="shared" si="6"/>
        <v>Pass</v>
      </c>
      <c r="H125" s="9">
        <f t="shared" si="5"/>
        <v>0</v>
      </c>
    </row>
    <row r="126" spans="2:8" ht="15" thickBot="1" x14ac:dyDescent="0.4">
      <c r="B126" s="247" t="str">
        <f>D_T01!B29</f>
        <v>Air Handler – in Conditioned Space</v>
      </c>
      <c r="C126" s="106"/>
      <c r="D126" s="106"/>
      <c r="E126" s="112" t="s">
        <v>93</v>
      </c>
      <c r="F126" s="105" t="str">
        <f t="shared" si="6"/>
        <v>Pass</v>
      </c>
      <c r="H126" s="9">
        <f t="shared" si="5"/>
        <v>0</v>
      </c>
    </row>
    <row r="127" spans="2:8" ht="15" thickBot="1" x14ac:dyDescent="0.4">
      <c r="B127" s="247" t="str">
        <f>D_T01!B30</f>
        <v>Mechanical Ventilation</v>
      </c>
      <c r="C127" s="106"/>
      <c r="D127" s="106"/>
      <c r="E127" s="103" t="s">
        <v>93</v>
      </c>
      <c r="F127" s="105" t="str">
        <f t="shared" si="6"/>
        <v>Pass</v>
      </c>
      <c r="H127" s="9">
        <f t="shared" si="5"/>
        <v>0</v>
      </c>
    </row>
    <row r="128" spans="2:8" ht="15" thickBot="1" x14ac:dyDescent="0.4">
      <c r="B128" s="247" t="str">
        <f>D_T01!B31</f>
        <v>Hot Water System - electric</v>
      </c>
      <c r="C128" s="106"/>
      <c r="D128" s="106"/>
      <c r="E128" s="112" t="s">
        <v>93</v>
      </c>
      <c r="F128" s="105" t="str">
        <f t="shared" si="6"/>
        <v>Pass</v>
      </c>
      <c r="H128" s="9">
        <f t="shared" si="5"/>
        <v>0</v>
      </c>
    </row>
    <row r="129" spans="1:8" ht="15" thickBot="1" x14ac:dyDescent="0.4">
      <c r="B129" s="247" t="str">
        <f>D_T01!B32</f>
        <v>All Hot Water Lines</v>
      </c>
      <c r="C129" s="106"/>
      <c r="D129" s="106"/>
      <c r="E129" s="112" t="s">
        <v>56</v>
      </c>
      <c r="F129" s="105" t="str">
        <f t="shared" si="6"/>
        <v>Software Doesn't Check</v>
      </c>
      <c r="H129" s="9">
        <f t="shared" si="5"/>
        <v>0</v>
      </c>
    </row>
    <row r="130" spans="1:8" ht="15" thickBot="1" x14ac:dyDescent="0.4">
      <c r="B130" s="247" t="str">
        <f>D_T01!B33</f>
        <v>Hot Water Circulation -none</v>
      </c>
      <c r="C130" s="106"/>
      <c r="D130" s="106"/>
      <c r="E130" s="112" t="s">
        <v>56</v>
      </c>
      <c r="F130" s="105" t="str">
        <f t="shared" si="6"/>
        <v>Software Doesn't Check</v>
      </c>
      <c r="H130" s="9">
        <f t="shared" si="5"/>
        <v>0</v>
      </c>
    </row>
    <row r="131" spans="1:8" ht="15" thickBot="1" x14ac:dyDescent="0.4">
      <c r="B131" s="247" t="str">
        <f>D_T01!B34</f>
        <v>Lighting</v>
      </c>
      <c r="C131" s="106"/>
      <c r="D131" s="106"/>
      <c r="E131" s="112" t="s">
        <v>93</v>
      </c>
      <c r="F131" s="105" t="str">
        <f t="shared" si="6"/>
        <v>Pass</v>
      </c>
      <c r="H131" s="9">
        <f t="shared" si="5"/>
        <v>0</v>
      </c>
    </row>
    <row r="132" spans="1:8" ht="15" thickBot="1" x14ac:dyDescent="0.4">
      <c r="B132" s="247" t="str">
        <f>D_T01!B35</f>
        <v>Pool and Spa - none</v>
      </c>
      <c r="C132" s="106"/>
      <c r="D132" s="106"/>
      <c r="E132" s="112" t="s">
        <v>56</v>
      </c>
      <c r="F132" s="105" t="str">
        <f t="shared" si="6"/>
        <v>Software Doesn't Check</v>
      </c>
      <c r="H132" s="9">
        <f t="shared" si="5"/>
        <v>0</v>
      </c>
    </row>
    <row r="133" spans="1:8" ht="15" thickBot="1" x14ac:dyDescent="0.4">
      <c r="B133" s="248" t="str">
        <f>D_T01!B38</f>
        <v>Area Weighted Fenestration U-Factor Value</v>
      </c>
      <c r="C133" s="106"/>
      <c r="D133" s="106"/>
      <c r="E133" s="110"/>
      <c r="F133" s="105" t="s">
        <v>63</v>
      </c>
      <c r="H133" s="9">
        <f t="shared" si="5"/>
        <v>0</v>
      </c>
    </row>
    <row r="134" spans="1:8" ht="15" thickBot="1" x14ac:dyDescent="0.4">
      <c r="B134" s="248" t="str">
        <f>D_T01!B39</f>
        <v>Area Weighted Fenestration SHGC Value</v>
      </c>
      <c r="C134" s="106"/>
      <c r="D134" s="106"/>
      <c r="E134" s="103">
        <v>0.25</v>
      </c>
      <c r="F134" s="105" t="str">
        <f>IF(E134&gt;UA_T01!S27,IF(E134&lt;=UA_T01!S28,"Pass","Fail"),"Fail")</f>
        <v>Pass</v>
      </c>
      <c r="H134" s="9">
        <f t="shared" si="5"/>
        <v>0</v>
      </c>
    </row>
    <row r="135" spans="1:8" ht="15" thickBot="1" x14ac:dyDescent="0.4">
      <c r="B135" s="248" t="str">
        <f>D_T01!B40</f>
        <v>Total Thermal Envelope UA Value</v>
      </c>
      <c r="C135" s="106"/>
      <c r="D135" s="106"/>
      <c r="E135" s="103">
        <v>354.8</v>
      </c>
      <c r="F135" s="105" t="str">
        <f>IF(E135&gt;=UA_T01!H27,IF(E135&lt;=UA_T01!H28,"Pass","Fail"),"Fail")</f>
        <v>Pass</v>
      </c>
      <c r="H135" s="9">
        <f t="shared" si="5"/>
        <v>0</v>
      </c>
    </row>
    <row r="136" spans="1:8" ht="15" thickBot="1" x14ac:dyDescent="0.4">
      <c r="B136" s="248" t="str">
        <f>D_T01!B41</f>
        <v>Area Weighted Fenestration U-Factor Result</v>
      </c>
      <c r="C136" s="106"/>
      <c r="D136" s="106"/>
      <c r="E136" s="110"/>
      <c r="F136" s="105" t="s">
        <v>63</v>
      </c>
      <c r="H136" s="9">
        <f t="shared" si="5"/>
        <v>0</v>
      </c>
    </row>
    <row r="137" spans="1:8" ht="15" thickBot="1" x14ac:dyDescent="0.4">
      <c r="B137" s="248" t="str">
        <f>D_T01!B42</f>
        <v>Area Weighted Fenestration SHGC Result</v>
      </c>
      <c r="C137" s="106"/>
      <c r="D137" s="106"/>
      <c r="E137" s="103" t="s">
        <v>93</v>
      </c>
      <c r="F137" s="105" t="str">
        <f>IF(E137="Complies","Pass","Fail")</f>
        <v>Pass</v>
      </c>
      <c r="H137" s="9">
        <f t="shared" si="5"/>
        <v>0</v>
      </c>
    </row>
    <row r="138" spans="1:8" ht="18" customHeight="1" thickBot="1" x14ac:dyDescent="0.4">
      <c r="B138" s="248" t="str">
        <f>D_T01!B43</f>
        <v>Baseline Thermal Envelope UA Value</v>
      </c>
      <c r="C138" s="106"/>
      <c r="D138" s="106"/>
      <c r="E138" s="103">
        <v>397.9</v>
      </c>
      <c r="F138" s="105" t="str">
        <f>IF(E138&gt;=UA_T01!J27,IF(E138&lt;=UA_T01!J28,"Pass","Fail"),"Fail")</f>
        <v>Pass</v>
      </c>
      <c r="H138" s="9">
        <f t="shared" si="5"/>
        <v>0</v>
      </c>
    </row>
    <row r="139" spans="1:8" ht="15" thickBot="1" x14ac:dyDescent="0.4">
      <c r="B139" s="248" t="str">
        <f>D_T01!B44</f>
        <v>Total Thermal Envelope UA Result</v>
      </c>
      <c r="C139" s="106"/>
      <c r="D139" s="106"/>
      <c r="E139" s="103" t="s">
        <v>93</v>
      </c>
      <c r="F139" s="105" t="str">
        <f>IF(E139="Complies","Pass","Fail")</f>
        <v>Pass</v>
      </c>
      <c r="H139" s="9">
        <f t="shared" si="5"/>
        <v>0</v>
      </c>
    </row>
    <row r="140" spans="1:8" ht="15" thickBot="1" x14ac:dyDescent="0.4">
      <c r="B140" s="248" t="str">
        <f>D_T01!B45</f>
        <v>House Complies?</v>
      </c>
      <c r="C140" s="106"/>
      <c r="D140" s="106"/>
      <c r="E140" s="103" t="s">
        <v>119</v>
      </c>
      <c r="F140" s="105" t="str">
        <f>IF(E140="Yes","Pass","Fail")</f>
        <v>Pass</v>
      </c>
      <c r="H140" s="9">
        <f t="shared" si="5"/>
        <v>0</v>
      </c>
    </row>
    <row r="141" spans="1:8" ht="21.65" customHeight="1" x14ac:dyDescent="0.6">
      <c r="E141" s="15" t="s">
        <v>85</v>
      </c>
      <c r="F141" s="16" t="str">
        <f>IF(H141&gt;0,"FAIL","PASS")</f>
        <v>PASS</v>
      </c>
      <c r="H141" s="256">
        <f xml:space="preserve"> SUM(H105:H140)</f>
        <v>0</v>
      </c>
    </row>
    <row r="142" spans="1:8" ht="8.5" customHeight="1" x14ac:dyDescent="0.35">
      <c r="A142" s="14"/>
      <c r="B142" s="14"/>
      <c r="C142" s="14"/>
      <c r="D142" s="14"/>
      <c r="E142" s="14"/>
      <c r="F142" s="14"/>
      <c r="G142" s="14"/>
    </row>
  </sheetData>
  <sheetProtection algorithmName="SHA-512" hashValue="Hb7JtsOGsoiXXNsn+2Gq21G3g+l67NweVIbQjBmTU3tkucwbHfEPFcmORyefTGxG8nXHk9q1NfNH7XYRZBYBmg==" saltValue="bJ7ItOlxW88+VkpPfgGt+g==" spinCount="100000" sheet="1" objects="1" scenarios="1"/>
  <mergeCells count="3">
    <mergeCell ref="D3:E3"/>
    <mergeCell ref="D52:E52"/>
    <mergeCell ref="D99:E99"/>
  </mergeCells>
  <dataValidations count="28">
    <dataValidation type="list" allowBlank="1" showInputMessage="1" showErrorMessage="1" sqref="C11 E58">
      <formula1>Floor</formula1>
    </dataValidation>
    <dataValidation type="list" allowBlank="1" showInputMessage="1" showErrorMessage="1" sqref="C12 E59">
      <formula1>Roof</formula1>
    </dataValidation>
    <dataValidation type="list" allowBlank="1" showInputMessage="1" showErrorMessage="1" sqref="C13 E60">
      <formula1>Ceiling</formula1>
    </dataValidation>
    <dataValidation type="list" allowBlank="1" showInputMessage="1" showErrorMessage="1" sqref="C14 C61 E61 C108 E108">
      <formula1>Skylight</formula1>
    </dataValidation>
    <dataValidation type="list" allowBlank="1" showInputMessage="1" showErrorMessage="1" sqref="C16 C110 E63">
      <formula1>Door</formula1>
    </dataValidation>
    <dataValidation type="list" allowBlank="1" showInputMessage="1" showErrorMessage="1" sqref="C17 C19 C21 C23 C25 E68 E64 C113 E66 E119 E113 E110:E111 E115 E117 E70 C115 E72 C117 C119 C111">
      <formula1>Window</formula1>
    </dataValidation>
    <dataValidation type="list" allowBlank="1" showInputMessage="1" showErrorMessage="1" sqref="C26 E73 E120">
      <formula1>Infiltration</formula1>
    </dataValidation>
    <dataValidation type="list" allowBlank="1" showInputMessage="1" showErrorMessage="1" sqref="C27 E74 E121">
      <formula1>Heating</formula1>
    </dataValidation>
    <dataValidation type="list" allowBlank="1" showInputMessage="1" showErrorMessage="1" sqref="C28 E75 E122">
      <formula1>Cooling</formula1>
    </dataValidation>
    <dataValidation type="list" allowBlank="1" showInputMessage="1" showErrorMessage="1" sqref="C29 E76 E123">
      <formula1>SupplyDucts</formula1>
    </dataValidation>
    <dataValidation type="list" allowBlank="1" showInputMessage="1" showErrorMessage="1" sqref="C30 E77 E124">
      <formula1>ReturnDucts</formula1>
    </dataValidation>
    <dataValidation type="list" allowBlank="1" showInputMessage="1" showErrorMessage="1" sqref="C31 E78 E125">
      <formula1>DuctTightness</formula1>
    </dataValidation>
    <dataValidation type="list" allowBlank="1" showInputMessage="1" showErrorMessage="1" sqref="C32 E79 E126">
      <formula1>AirHandler</formula1>
    </dataValidation>
    <dataValidation type="list" allowBlank="1" showInputMessage="1" showErrorMessage="1" sqref="C34 E81 E128">
      <formula1>HotWaterSystem</formula1>
    </dataValidation>
    <dataValidation type="list" allowBlank="1" showInputMessage="1" showErrorMessage="1" sqref="C35 E82 E129">
      <formula1>HotWaterLines</formula1>
    </dataValidation>
    <dataValidation type="list" allowBlank="1" showInputMessage="1" showErrorMessage="1" sqref="C36 E83 E130">
      <formula1>HotWaterCirculation</formula1>
    </dataValidation>
    <dataValidation type="list" allowBlank="1" showInputMessage="1" showErrorMessage="1" sqref="C37 E84 E131">
      <formula1>Lighting</formula1>
    </dataValidation>
    <dataValidation type="list" allowBlank="1" showInputMessage="1" showErrorMessage="1" sqref="C38 E85 E132">
      <formula1>PoolandSpa</formula1>
    </dataValidation>
    <dataValidation type="list" allowBlank="1" showInputMessage="1" showErrorMessage="1" sqref="C15 C18 C20 C22 C24 E71 E62 E65 E69 E67">
      <formula1>Wall</formula1>
    </dataValidation>
    <dataValidation type="decimal" allowBlank="1" showInputMessage="1" showErrorMessage="1" sqref="C39 D72 D61 D110:D111 D63:D64 D66 D68 D113 D115 D117 D108 D70 D119">
      <formula1>0</formula1>
      <formula2>2</formula2>
    </dataValidation>
    <dataValidation type="decimal" allowBlank="1" showInputMessage="1" showErrorMessage="1" sqref="D107 D65 D60 D62 C40 D109 D67 D114 D116 D112 D71 D69 D118">
      <formula1>0</formula1>
      <formula2>1</formula2>
    </dataValidation>
    <dataValidation type="list" allowBlank="1" showInputMessage="1" showErrorMessage="1" sqref="C42 E89">
      <formula1>OverallFenU</formula1>
    </dataValidation>
    <dataValidation type="list" allowBlank="1" showInputMessage="1" showErrorMessage="1" sqref="C43 E90 E137">
      <formula1>OverallFenSHGC</formula1>
    </dataValidation>
    <dataValidation type="list" allowBlank="1" showInputMessage="1" showErrorMessage="1" sqref="C41 C44:C45 E139">
      <formula1>TotalUA</formula1>
    </dataValidation>
    <dataValidation type="decimal" allowBlank="1" showInputMessage="1" showErrorMessage="1" sqref="D135 D138">
      <formula1>0</formula1>
      <formula2>1000</formula2>
    </dataValidation>
    <dataValidation type="list" allowBlank="1" showInputMessage="1" showErrorMessage="1" sqref="C60 C107 C109 C112 C114 C116 C118 C62 C65 C67 C69 C71">
      <formula1>UCalcMethod</formula1>
    </dataValidation>
    <dataValidation type="list" allowBlank="1" showInputMessage="1" showErrorMessage="1" sqref="E93 C46 E140">
      <formula1>Complies</formula1>
    </dataValidation>
    <dataValidation type="list" allowBlank="1" showInputMessage="1" showErrorMessage="1" sqref="E127 E80 C33">
      <formula1>MechanicalVent</formula1>
    </dataValidation>
  </dataValidations>
  <printOptions gridLines="1"/>
  <pageMargins left="0.7" right="0.7" top="0.75" bottom="0.75" header="0.3" footer="0.3"/>
  <pageSetup scale="23" orientation="landscape" r:id="rId1"/>
  <rowBreaks count="2" manualBreakCount="2">
    <brk id="48" max="5" man="1"/>
    <brk id="95" max="5"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X34"/>
  <sheetViews>
    <sheetView workbookViewId="0">
      <selection activeCell="E10" sqref="E10"/>
    </sheetView>
  </sheetViews>
  <sheetFormatPr defaultRowHeight="14.5" x14ac:dyDescent="0.35"/>
  <cols>
    <col min="2" max="2" width="40.26953125" customWidth="1"/>
    <col min="3" max="3" width="23.453125" customWidth="1"/>
    <col min="4" max="4" width="17" customWidth="1"/>
    <col min="5" max="5" width="15.453125" customWidth="1"/>
    <col min="6" max="6" width="19.90625" customWidth="1"/>
    <col min="7" max="7" width="19.453125" customWidth="1"/>
    <col min="8" max="8" width="17.26953125" customWidth="1"/>
    <col min="9" max="9" width="18.7265625" customWidth="1"/>
    <col min="10" max="10" width="22.1796875" customWidth="1"/>
    <col min="11" max="11" width="17.26953125" customWidth="1"/>
    <col min="12" max="14" width="17.1796875" customWidth="1"/>
    <col min="15" max="16" width="17.81640625" customWidth="1"/>
    <col min="17" max="18" width="18.1796875" customWidth="1"/>
    <col min="19" max="20" width="18.54296875" customWidth="1"/>
    <col min="21" max="21" width="23.54296875" customWidth="1"/>
    <col min="22" max="22" width="17.54296875" customWidth="1"/>
    <col min="23" max="23" width="19.81640625" customWidth="1"/>
  </cols>
  <sheetData>
    <row r="3" spans="2:24" x14ac:dyDescent="0.35">
      <c r="B3" t="s">
        <v>30</v>
      </c>
      <c r="C3" t="s">
        <v>33</v>
      </c>
      <c r="D3" t="s">
        <v>34</v>
      </c>
      <c r="E3" t="s">
        <v>35</v>
      </c>
      <c r="F3" t="s">
        <v>36</v>
      </c>
      <c r="G3" t="s">
        <v>37</v>
      </c>
      <c r="H3" t="s">
        <v>38</v>
      </c>
      <c r="I3" t="s">
        <v>12</v>
      </c>
      <c r="J3" t="s">
        <v>39</v>
      </c>
      <c r="K3" t="s">
        <v>40</v>
      </c>
      <c r="L3" t="s">
        <v>41</v>
      </c>
      <c r="M3" t="s">
        <v>42</v>
      </c>
      <c r="N3" t="s">
        <v>43</v>
      </c>
      <c r="O3" t="s">
        <v>44</v>
      </c>
      <c r="P3" t="s">
        <v>45</v>
      </c>
      <c r="Q3" t="s">
        <v>46</v>
      </c>
      <c r="R3" t="s">
        <v>47</v>
      </c>
      <c r="S3" t="s">
        <v>48</v>
      </c>
      <c r="T3" t="s">
        <v>23</v>
      </c>
      <c r="U3" t="s">
        <v>49</v>
      </c>
      <c r="V3" t="s">
        <v>64</v>
      </c>
      <c r="W3" t="s">
        <v>65</v>
      </c>
      <c r="X3" t="s">
        <v>66</v>
      </c>
    </row>
    <row r="5" spans="2:24" x14ac:dyDescent="0.35">
      <c r="B5" t="s">
        <v>93</v>
      </c>
      <c r="C5" t="s">
        <v>93</v>
      </c>
      <c r="D5" t="s">
        <v>93</v>
      </c>
      <c r="E5" t="s">
        <v>93</v>
      </c>
      <c r="F5" t="s">
        <v>93</v>
      </c>
      <c r="G5" t="s">
        <v>93</v>
      </c>
      <c r="H5" t="s">
        <v>93</v>
      </c>
      <c r="I5" t="s">
        <v>93</v>
      </c>
      <c r="J5" t="s">
        <v>93</v>
      </c>
      <c r="K5" t="s">
        <v>93</v>
      </c>
      <c r="L5" t="s">
        <v>93</v>
      </c>
      <c r="M5" t="s">
        <v>93</v>
      </c>
      <c r="N5" t="s">
        <v>93</v>
      </c>
      <c r="O5" t="s">
        <v>93</v>
      </c>
      <c r="P5" t="s">
        <v>93</v>
      </c>
      <c r="Q5" t="s">
        <v>93</v>
      </c>
      <c r="R5" t="s">
        <v>93</v>
      </c>
      <c r="S5" t="s">
        <v>93</v>
      </c>
      <c r="T5" t="s">
        <v>93</v>
      </c>
      <c r="U5" t="s">
        <v>93</v>
      </c>
      <c r="V5" t="s">
        <v>93</v>
      </c>
      <c r="W5" t="s">
        <v>93</v>
      </c>
      <c r="X5" t="s">
        <v>93</v>
      </c>
    </row>
    <row r="6" spans="2:24" x14ac:dyDescent="0.35">
      <c r="B6" t="s">
        <v>32</v>
      </c>
      <c r="C6" t="s">
        <v>32</v>
      </c>
      <c r="D6" t="s">
        <v>32</v>
      </c>
      <c r="E6" t="s">
        <v>51</v>
      </c>
      <c r="F6" t="s">
        <v>32</v>
      </c>
      <c r="G6" t="s">
        <v>51</v>
      </c>
      <c r="H6" t="s">
        <v>31</v>
      </c>
      <c r="I6" t="s">
        <v>52</v>
      </c>
      <c r="J6" t="s">
        <v>53</v>
      </c>
      <c r="K6" t="s">
        <v>55</v>
      </c>
      <c r="L6" t="s">
        <v>32</v>
      </c>
      <c r="M6" t="s">
        <v>32</v>
      </c>
      <c r="N6" t="s">
        <v>52</v>
      </c>
      <c r="O6" t="s">
        <v>57</v>
      </c>
      <c r="P6" t="s">
        <v>58</v>
      </c>
      <c r="Q6" t="s">
        <v>60</v>
      </c>
      <c r="R6" t="s">
        <v>61</v>
      </c>
      <c r="S6" t="s">
        <v>62</v>
      </c>
      <c r="T6" t="s">
        <v>285</v>
      </c>
      <c r="U6" t="s">
        <v>68</v>
      </c>
      <c r="V6" t="s">
        <v>73</v>
      </c>
      <c r="W6" t="s">
        <v>74</v>
      </c>
      <c r="X6" t="s">
        <v>67</v>
      </c>
    </row>
    <row r="7" spans="2:24" x14ac:dyDescent="0.35">
      <c r="B7" t="s">
        <v>70</v>
      </c>
      <c r="C7" t="s">
        <v>70</v>
      </c>
      <c r="D7" t="s">
        <v>70</v>
      </c>
      <c r="E7" t="s">
        <v>70</v>
      </c>
      <c r="F7" t="s">
        <v>70</v>
      </c>
      <c r="G7" t="s">
        <v>70</v>
      </c>
      <c r="H7" t="s">
        <v>63</v>
      </c>
      <c r="I7" t="s">
        <v>56</v>
      </c>
      <c r="J7" t="s">
        <v>54</v>
      </c>
      <c r="K7" t="s">
        <v>56</v>
      </c>
      <c r="L7" t="s">
        <v>56</v>
      </c>
      <c r="M7" t="s">
        <v>56</v>
      </c>
      <c r="N7" t="s">
        <v>56</v>
      </c>
      <c r="O7" t="s">
        <v>52</v>
      </c>
      <c r="P7" t="s">
        <v>59</v>
      </c>
      <c r="Q7" t="s">
        <v>56</v>
      </c>
      <c r="R7" t="s">
        <v>56</v>
      </c>
      <c r="S7" t="s">
        <v>56</v>
      </c>
      <c r="T7" t="s">
        <v>56</v>
      </c>
      <c r="U7" t="s">
        <v>69</v>
      </c>
      <c r="X7" t="s">
        <v>63</v>
      </c>
    </row>
    <row r="8" spans="2:24" x14ac:dyDescent="0.35">
      <c r="C8" t="s">
        <v>50</v>
      </c>
      <c r="F8" t="s">
        <v>445</v>
      </c>
      <c r="G8" t="s">
        <v>63</v>
      </c>
      <c r="J8" t="s">
        <v>56</v>
      </c>
      <c r="O8" t="s">
        <v>56</v>
      </c>
      <c r="P8" t="s">
        <v>56</v>
      </c>
      <c r="U8" t="s">
        <v>56</v>
      </c>
    </row>
    <row r="10" spans="2:24" x14ac:dyDescent="0.35">
      <c r="B10" t="s">
        <v>80</v>
      </c>
      <c r="C10" t="s">
        <v>93</v>
      </c>
    </row>
    <row r="11" spans="2:24" x14ac:dyDescent="0.35">
      <c r="D11" s="5"/>
    </row>
    <row r="12" spans="2:24" x14ac:dyDescent="0.35">
      <c r="B12" t="s">
        <v>118</v>
      </c>
      <c r="C12" t="s">
        <v>119</v>
      </c>
      <c r="D12" s="5"/>
    </row>
    <row r="13" spans="2:24" x14ac:dyDescent="0.35">
      <c r="B13" t="s">
        <v>82</v>
      </c>
      <c r="C13" t="s">
        <v>120</v>
      </c>
      <c r="D13" s="5"/>
    </row>
    <row r="14" spans="2:24" x14ac:dyDescent="0.35">
      <c r="B14" t="s">
        <v>81</v>
      </c>
    </row>
    <row r="15" spans="2:24" x14ac:dyDescent="0.35">
      <c r="B15" t="s">
        <v>83</v>
      </c>
    </row>
    <row r="16" spans="2:24" x14ac:dyDescent="0.35">
      <c r="B16" t="s">
        <v>444</v>
      </c>
    </row>
    <row r="18" spans="2:20" x14ac:dyDescent="0.35">
      <c r="B18" t="s">
        <v>224</v>
      </c>
      <c r="K18" s="537" t="s">
        <v>121</v>
      </c>
      <c r="L18" s="537"/>
      <c r="M18" s="537" t="s">
        <v>122</v>
      </c>
      <c r="N18" s="537"/>
      <c r="O18" s="537" t="s">
        <v>123</v>
      </c>
      <c r="P18" s="537"/>
      <c r="Q18" s="34" t="s">
        <v>122</v>
      </c>
      <c r="R18" s="34"/>
      <c r="S18" s="34" t="s">
        <v>123</v>
      </c>
      <c r="T18" s="34"/>
    </row>
    <row r="19" spans="2:20" ht="43.5" customHeight="1" x14ac:dyDescent="0.35">
      <c r="B19" s="37"/>
      <c r="C19" s="42"/>
      <c r="D19" s="532" t="s">
        <v>235</v>
      </c>
      <c r="E19" s="534"/>
      <c r="F19" s="533"/>
      <c r="G19" s="532" t="s">
        <v>124</v>
      </c>
      <c r="H19" s="533"/>
      <c r="I19" s="532" t="s">
        <v>125</v>
      </c>
      <c r="J19" s="533"/>
      <c r="K19" s="535" t="s">
        <v>236</v>
      </c>
      <c r="L19" s="536"/>
      <c r="M19" s="535" t="s">
        <v>237</v>
      </c>
      <c r="N19" s="536"/>
      <c r="O19" s="535" t="s">
        <v>237</v>
      </c>
      <c r="P19" s="536"/>
      <c r="Q19" s="535" t="s">
        <v>238</v>
      </c>
      <c r="R19" s="536"/>
      <c r="S19" s="535" t="s">
        <v>238</v>
      </c>
      <c r="T19" s="536"/>
    </row>
    <row r="20" spans="2:20" ht="39.75" customHeight="1" x14ac:dyDescent="0.35">
      <c r="B20" s="52"/>
      <c r="C20" s="145" t="s">
        <v>126</v>
      </c>
      <c r="D20" s="145" t="s">
        <v>127</v>
      </c>
      <c r="E20" s="145" t="s">
        <v>128</v>
      </c>
      <c r="F20" s="145" t="s">
        <v>129</v>
      </c>
      <c r="G20" s="146" t="s">
        <v>225</v>
      </c>
      <c r="H20" s="146" t="s">
        <v>226</v>
      </c>
      <c r="I20" s="146" t="s">
        <v>227</v>
      </c>
      <c r="J20" s="146" t="s">
        <v>130</v>
      </c>
      <c r="K20" s="146" t="s">
        <v>75</v>
      </c>
      <c r="L20" s="146" t="s">
        <v>228</v>
      </c>
      <c r="M20" s="146" t="s">
        <v>77</v>
      </c>
      <c r="N20" s="146" t="s">
        <v>131</v>
      </c>
      <c r="O20" s="146" t="s">
        <v>77</v>
      </c>
      <c r="P20" s="146" t="s">
        <v>131</v>
      </c>
      <c r="Q20" s="146" t="s">
        <v>132</v>
      </c>
      <c r="R20" s="146" t="s">
        <v>133</v>
      </c>
      <c r="S20" s="146" t="s">
        <v>132</v>
      </c>
      <c r="T20" s="146" t="s">
        <v>133</v>
      </c>
    </row>
    <row r="24" spans="2:20" x14ac:dyDescent="0.35">
      <c r="B24" t="s">
        <v>257</v>
      </c>
    </row>
    <row r="25" spans="2:20" x14ac:dyDescent="0.35">
      <c r="B25" s="33" t="s">
        <v>135</v>
      </c>
      <c r="C25" s="68">
        <v>0.02</v>
      </c>
    </row>
    <row r="26" spans="2:20" x14ac:dyDescent="0.35">
      <c r="B26" s="33" t="s">
        <v>137</v>
      </c>
      <c r="C26" s="34">
        <v>5.0000000000000001E-3</v>
      </c>
    </row>
    <row r="27" spans="2:20" x14ac:dyDescent="0.35">
      <c r="B27" s="33" t="s">
        <v>139</v>
      </c>
      <c r="C27" s="34">
        <v>5.0000000000000001E-3</v>
      </c>
    </row>
    <row r="31" spans="2:20" x14ac:dyDescent="0.35">
      <c r="B31" t="s">
        <v>260</v>
      </c>
    </row>
    <row r="32" spans="2:20" ht="16.5" customHeight="1" x14ac:dyDescent="0.35">
      <c r="B32" t="s">
        <v>261</v>
      </c>
      <c r="C32" s="72">
        <v>24</v>
      </c>
    </row>
    <row r="33" spans="2:3" ht="16.5" customHeight="1" x14ac:dyDescent="0.35">
      <c r="B33" t="s">
        <v>262</v>
      </c>
      <c r="C33" s="72">
        <v>15</v>
      </c>
    </row>
    <row r="34" spans="2:3" x14ac:dyDescent="0.35">
      <c r="C34" s="34"/>
    </row>
  </sheetData>
  <mergeCells count="11">
    <mergeCell ref="S19:T19"/>
    <mergeCell ref="K19:L19"/>
    <mergeCell ref="K18:L18"/>
    <mergeCell ref="M18:N18"/>
    <mergeCell ref="O18:P18"/>
    <mergeCell ref="Q19:R19"/>
    <mergeCell ref="I19:J19"/>
    <mergeCell ref="G19:H19"/>
    <mergeCell ref="D19:F19"/>
    <mergeCell ref="M19:N19"/>
    <mergeCell ref="O19:P19"/>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G26"/>
  <sheetViews>
    <sheetView workbookViewId="0">
      <selection activeCell="G15" sqref="G15"/>
    </sheetView>
  </sheetViews>
  <sheetFormatPr defaultRowHeight="14.5" x14ac:dyDescent="0.35"/>
  <sheetData>
    <row r="3" spans="2:7" ht="26.15" customHeight="1" x14ac:dyDescent="0.35">
      <c r="B3" s="513" t="s">
        <v>121</v>
      </c>
      <c r="C3" s="514"/>
      <c r="D3" s="515" t="s">
        <v>122</v>
      </c>
      <c r="E3" s="514"/>
      <c r="F3" s="515" t="s">
        <v>123</v>
      </c>
      <c r="G3" s="514"/>
    </row>
    <row r="4" spans="2:7" ht="26.15" customHeight="1" x14ac:dyDescent="0.35">
      <c r="B4" s="511" t="s">
        <v>236</v>
      </c>
      <c r="C4" s="512"/>
      <c r="D4" s="511" t="s">
        <v>237</v>
      </c>
      <c r="E4" s="512"/>
      <c r="F4" s="511" t="s">
        <v>237</v>
      </c>
      <c r="G4" s="512"/>
    </row>
    <row r="5" spans="2:7" ht="25.5" customHeight="1" thickBot="1" x14ac:dyDescent="0.4">
      <c r="B5" s="236" t="s">
        <v>75</v>
      </c>
      <c r="C5" s="236" t="s">
        <v>228</v>
      </c>
      <c r="D5" s="236" t="s">
        <v>77</v>
      </c>
      <c r="E5" s="236" t="s">
        <v>131</v>
      </c>
      <c r="F5" s="236" t="s">
        <v>77</v>
      </c>
      <c r="G5" s="236" t="s">
        <v>131</v>
      </c>
    </row>
    <row r="6" spans="2:7" ht="15" thickTop="1" x14ac:dyDescent="0.35">
      <c r="B6" s="38"/>
      <c r="C6" s="40"/>
      <c r="D6" s="39"/>
      <c r="E6" s="40"/>
      <c r="F6" s="43"/>
      <c r="G6" s="40"/>
    </row>
    <row r="7" spans="2:7" ht="30" customHeight="1" x14ac:dyDescent="0.35">
      <c r="B7" s="46"/>
      <c r="C7" s="48"/>
      <c r="D7" s="263"/>
      <c r="E7" s="48"/>
      <c r="F7" s="262"/>
      <c r="G7" s="48"/>
    </row>
    <row r="8" spans="2:7" x14ac:dyDescent="0.35">
      <c r="B8" s="50"/>
      <c r="C8" s="49"/>
      <c r="D8" s="263"/>
      <c r="E8" s="48"/>
      <c r="F8" s="262"/>
      <c r="G8" s="48"/>
    </row>
    <row r="9" spans="2:7" x14ac:dyDescent="0.35">
      <c r="B9" s="201">
        <v>0</v>
      </c>
      <c r="C9" s="202">
        <v>10</v>
      </c>
      <c r="D9" s="136">
        <v>0.65</v>
      </c>
      <c r="E9" s="202">
        <v>0</v>
      </c>
      <c r="F9" s="339">
        <v>0.65</v>
      </c>
      <c r="G9" s="202">
        <v>6.5</v>
      </c>
    </row>
    <row r="10" spans="2:7" x14ac:dyDescent="0.35">
      <c r="B10" s="201"/>
      <c r="C10" s="202"/>
      <c r="D10" s="133"/>
      <c r="E10" s="203"/>
      <c r="F10" s="338"/>
      <c r="G10" s="203"/>
    </row>
    <row r="11" spans="2:7" x14ac:dyDescent="0.35">
      <c r="B11" s="201">
        <v>0</v>
      </c>
      <c r="C11" s="202">
        <v>24</v>
      </c>
      <c r="D11" s="133">
        <v>0</v>
      </c>
      <c r="E11" s="202">
        <v>0</v>
      </c>
      <c r="F11" s="339">
        <v>0.8</v>
      </c>
      <c r="G11" s="202">
        <v>19.200000000000003</v>
      </c>
    </row>
    <row r="12" spans="2:7" x14ac:dyDescent="0.35">
      <c r="B12" s="201">
        <v>75</v>
      </c>
      <c r="C12" s="202">
        <v>75</v>
      </c>
      <c r="D12" s="136">
        <v>0.68</v>
      </c>
      <c r="E12" s="202">
        <v>51.000000000000007</v>
      </c>
      <c r="F12" s="339">
        <v>0.68</v>
      </c>
      <c r="G12" s="202">
        <v>51.000000000000007</v>
      </c>
    </row>
    <row r="13" spans="2:7" x14ac:dyDescent="0.35">
      <c r="B13" s="201"/>
      <c r="C13" s="202"/>
      <c r="D13" s="133"/>
      <c r="E13" s="203"/>
      <c r="F13" s="338"/>
      <c r="G13" s="203"/>
    </row>
    <row r="14" spans="2:7" x14ac:dyDescent="0.35">
      <c r="B14" s="201">
        <v>75</v>
      </c>
      <c r="C14" s="202">
        <v>75</v>
      </c>
      <c r="D14" s="136">
        <v>0.27</v>
      </c>
      <c r="E14" s="202">
        <v>20.25</v>
      </c>
      <c r="F14" s="339">
        <v>0.27</v>
      </c>
      <c r="G14" s="202">
        <v>20.25</v>
      </c>
    </row>
    <row r="15" spans="2:7" x14ac:dyDescent="0.35">
      <c r="B15" s="201"/>
      <c r="C15" s="202"/>
      <c r="D15" s="133"/>
      <c r="E15" s="203"/>
      <c r="F15" s="338"/>
      <c r="G15" s="203"/>
    </row>
    <row r="16" spans="2:7" x14ac:dyDescent="0.35">
      <c r="B16" s="201">
        <v>0</v>
      </c>
      <c r="C16" s="202">
        <v>15</v>
      </c>
      <c r="D16" s="136">
        <v>1.2</v>
      </c>
      <c r="E16" s="202">
        <v>0</v>
      </c>
      <c r="F16" s="339">
        <v>1.2</v>
      </c>
      <c r="G16" s="202">
        <v>18</v>
      </c>
    </row>
    <row r="17" spans="2:7" x14ac:dyDescent="0.35">
      <c r="B17" s="201"/>
      <c r="C17" s="202"/>
      <c r="D17" s="133"/>
      <c r="E17" s="203"/>
      <c r="F17" s="338"/>
      <c r="G17" s="203"/>
    </row>
    <row r="18" spans="2:7" x14ac:dyDescent="0.35">
      <c r="B18" s="201">
        <v>60</v>
      </c>
      <c r="C18" s="202">
        <v>60</v>
      </c>
      <c r="D18" s="136">
        <v>0.27</v>
      </c>
      <c r="E18" s="202">
        <v>16.200000000000003</v>
      </c>
      <c r="F18" s="339">
        <v>0.27</v>
      </c>
      <c r="G18" s="202">
        <v>16.200000000000003</v>
      </c>
    </row>
    <row r="19" spans="2:7" x14ac:dyDescent="0.35">
      <c r="B19" s="201"/>
      <c r="C19" s="202"/>
      <c r="D19" s="133"/>
      <c r="E19" s="203"/>
      <c r="F19" s="338"/>
      <c r="G19" s="203"/>
    </row>
    <row r="20" spans="2:7" x14ac:dyDescent="0.35">
      <c r="B20" s="201">
        <v>75</v>
      </c>
      <c r="C20" s="204">
        <v>75</v>
      </c>
      <c r="D20" s="136">
        <v>0.27</v>
      </c>
      <c r="E20" s="202">
        <v>20.25</v>
      </c>
      <c r="F20" s="339">
        <v>0.27</v>
      </c>
      <c r="G20" s="202">
        <v>20.25</v>
      </c>
    </row>
    <row r="21" spans="2:7" x14ac:dyDescent="0.35">
      <c r="B21" s="55"/>
      <c r="C21" s="56"/>
      <c r="D21" s="330"/>
      <c r="E21" s="58"/>
      <c r="F21" s="277"/>
      <c r="G21" s="58"/>
    </row>
    <row r="22" spans="2:7" ht="15.5" x14ac:dyDescent="0.35">
      <c r="B22" s="456">
        <v>295</v>
      </c>
      <c r="C22" s="453">
        <v>334</v>
      </c>
      <c r="D22" s="457">
        <f>E22/B22</f>
        <v>0.36508474576271188</v>
      </c>
      <c r="E22" s="453">
        <f>SUM(E12:E20)</f>
        <v>107.7</v>
      </c>
      <c r="F22" s="458">
        <v>0.45329341317365279</v>
      </c>
      <c r="G22" s="453">
        <v>151.40000000000003</v>
      </c>
    </row>
    <row r="23" spans="2:7" ht="15.5" x14ac:dyDescent="0.35">
      <c r="B23" s="65"/>
      <c r="C23" s="65"/>
      <c r="D23" s="67"/>
      <c r="E23" s="65"/>
      <c r="F23" s="67"/>
      <c r="G23" s="65"/>
    </row>
    <row r="24" spans="2:7" ht="29" x14ac:dyDescent="0.35">
      <c r="B24" s="305"/>
      <c r="C24" s="305"/>
      <c r="D24" s="144" t="s">
        <v>229</v>
      </c>
      <c r="E24" s="144" t="s">
        <v>231</v>
      </c>
      <c r="F24" s="144" t="s">
        <v>229</v>
      </c>
      <c r="G24" s="144" t="s">
        <v>231</v>
      </c>
    </row>
    <row r="25" spans="2:7" x14ac:dyDescent="0.35">
      <c r="B25" s="212"/>
      <c r="C25" s="212"/>
      <c r="D25" s="213">
        <v>0.38211864406779661</v>
      </c>
      <c r="E25" s="214">
        <v>111.916</v>
      </c>
      <c r="F25" s="215">
        <v>0.44829341317365279</v>
      </c>
      <c r="G25" s="214">
        <v>148.37200000000004</v>
      </c>
    </row>
    <row r="26" spans="2:7" x14ac:dyDescent="0.35">
      <c r="B26" s="212"/>
      <c r="C26" s="212"/>
      <c r="D26" s="213">
        <v>0.39211864406779662</v>
      </c>
      <c r="E26" s="214">
        <v>116.48400000000001</v>
      </c>
      <c r="F26" s="215">
        <v>0.4582934131736528</v>
      </c>
      <c r="G26" s="214">
        <v>154.42800000000003</v>
      </c>
    </row>
  </sheetData>
  <mergeCells count="6">
    <mergeCell ref="B3:C3"/>
    <mergeCell ref="D3:E3"/>
    <mergeCell ref="F3:G3"/>
    <mergeCell ref="B4:C4"/>
    <mergeCell ref="D4:E4"/>
    <mergeCell ref="F4:G4"/>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K24"/>
  <sheetViews>
    <sheetView topLeftCell="A4" workbookViewId="0">
      <selection activeCell="J20" sqref="J20"/>
    </sheetView>
  </sheetViews>
  <sheetFormatPr defaultRowHeight="14.5" x14ac:dyDescent="0.35"/>
  <cols>
    <col min="6" max="6" width="17.81640625" customWidth="1"/>
    <col min="8" max="8" width="17.7265625" customWidth="1"/>
    <col min="9" max="9" width="17.453125" customWidth="1"/>
    <col min="10" max="10" width="20.453125" customWidth="1"/>
  </cols>
  <sheetData>
    <row r="3" spans="2:11" x14ac:dyDescent="0.35">
      <c r="B3" t="s">
        <v>128</v>
      </c>
      <c r="C3" t="s">
        <v>129</v>
      </c>
      <c r="D3" t="s">
        <v>225</v>
      </c>
      <c r="E3" t="s">
        <v>226</v>
      </c>
      <c r="F3" t="s">
        <v>227</v>
      </c>
      <c r="G3" t="s">
        <v>130</v>
      </c>
      <c r="H3" t="s">
        <v>75</v>
      </c>
      <c r="I3" t="s">
        <v>228</v>
      </c>
      <c r="J3" t="s">
        <v>77</v>
      </c>
      <c r="K3" t="s">
        <v>131</v>
      </c>
    </row>
    <row r="4" spans="2:11" x14ac:dyDescent="0.35">
      <c r="B4">
        <v>2000</v>
      </c>
      <c r="C4">
        <v>2000</v>
      </c>
      <c r="D4">
        <v>4.8792043927395626E-2</v>
      </c>
      <c r="E4">
        <v>97.58408785479125</v>
      </c>
      <c r="F4">
        <v>6.4000000000000001E-2</v>
      </c>
      <c r="G4">
        <v>128</v>
      </c>
    </row>
    <row r="6" spans="2:11" x14ac:dyDescent="0.35">
      <c r="B6">
        <v>2000</v>
      </c>
      <c r="C6">
        <v>1990</v>
      </c>
      <c r="D6">
        <v>3.4267920123583803E-2</v>
      </c>
      <c r="E6">
        <v>68.193161045931774</v>
      </c>
      <c r="F6">
        <v>3.5000000000000003E-2</v>
      </c>
      <c r="G6">
        <v>69.650000000000006</v>
      </c>
    </row>
    <row r="7" spans="2:11" x14ac:dyDescent="0.35">
      <c r="B7">
        <v>10</v>
      </c>
      <c r="C7">
        <v>10</v>
      </c>
      <c r="D7">
        <v>0.75</v>
      </c>
      <c r="E7">
        <v>7.5</v>
      </c>
      <c r="F7">
        <v>0.75</v>
      </c>
      <c r="G7">
        <v>7.5</v>
      </c>
      <c r="H7">
        <v>0</v>
      </c>
      <c r="I7">
        <v>10</v>
      </c>
      <c r="J7">
        <v>0.75</v>
      </c>
      <c r="K7">
        <v>0</v>
      </c>
    </row>
    <row r="8" spans="2:11" x14ac:dyDescent="0.35">
      <c r="B8">
        <v>500</v>
      </c>
      <c r="C8">
        <v>401</v>
      </c>
      <c r="D8">
        <v>0.16305123494964477</v>
      </c>
      <c r="E8">
        <v>65.383545214807555</v>
      </c>
      <c r="F8">
        <v>8.2000000000000003E-2</v>
      </c>
      <c r="G8">
        <v>32.881999999999998</v>
      </c>
    </row>
    <row r="9" spans="2:11" x14ac:dyDescent="0.35">
      <c r="B9">
        <v>24</v>
      </c>
      <c r="C9">
        <v>24</v>
      </c>
      <c r="D9">
        <v>0.65</v>
      </c>
      <c r="E9">
        <v>15.600000000000001</v>
      </c>
      <c r="F9">
        <v>0.5</v>
      </c>
      <c r="G9">
        <v>12</v>
      </c>
      <c r="H9">
        <v>0</v>
      </c>
      <c r="I9">
        <v>24</v>
      </c>
      <c r="J9">
        <v>0</v>
      </c>
      <c r="K9">
        <v>0</v>
      </c>
    </row>
    <row r="10" spans="2:11" x14ac:dyDescent="0.35">
      <c r="B10">
        <v>75</v>
      </c>
      <c r="C10">
        <v>75</v>
      </c>
      <c r="D10">
        <v>0.75</v>
      </c>
      <c r="E10">
        <v>56.25</v>
      </c>
      <c r="F10">
        <v>0.5</v>
      </c>
      <c r="G10">
        <v>37.5</v>
      </c>
      <c r="H10">
        <v>75</v>
      </c>
      <c r="I10">
        <v>75</v>
      </c>
      <c r="J10">
        <v>0.75</v>
      </c>
      <c r="K10">
        <v>56.25</v>
      </c>
    </row>
    <row r="11" spans="2:11" x14ac:dyDescent="0.35">
      <c r="B11">
        <v>400</v>
      </c>
      <c r="C11">
        <v>325</v>
      </c>
      <c r="D11">
        <v>0.16305123494964477</v>
      </c>
      <c r="E11">
        <v>52.991651358634549</v>
      </c>
      <c r="F11">
        <v>8.2000000000000003E-2</v>
      </c>
      <c r="G11">
        <v>26.650000000000002</v>
      </c>
    </row>
    <row r="12" spans="2:11" x14ac:dyDescent="0.35">
      <c r="B12">
        <v>75</v>
      </c>
      <c r="C12">
        <v>75</v>
      </c>
      <c r="D12">
        <v>0.75</v>
      </c>
      <c r="E12">
        <v>56.25</v>
      </c>
      <c r="F12">
        <v>0.5</v>
      </c>
      <c r="G12">
        <v>37.5</v>
      </c>
      <c r="H12">
        <v>75</v>
      </c>
      <c r="I12">
        <v>75</v>
      </c>
      <c r="J12">
        <v>0.75</v>
      </c>
      <c r="K12">
        <v>56.25</v>
      </c>
    </row>
    <row r="13" spans="2:11" x14ac:dyDescent="0.35">
      <c r="B13">
        <v>400</v>
      </c>
      <c r="C13">
        <v>385</v>
      </c>
      <c r="D13">
        <v>0.16305123494964477</v>
      </c>
      <c r="E13">
        <v>62.774725455613236</v>
      </c>
      <c r="F13">
        <v>8.2000000000000003E-2</v>
      </c>
      <c r="G13">
        <v>31.57</v>
      </c>
    </row>
    <row r="14" spans="2:11" x14ac:dyDescent="0.35">
      <c r="B14">
        <v>15</v>
      </c>
      <c r="C14">
        <v>15</v>
      </c>
      <c r="D14">
        <v>0.75</v>
      </c>
      <c r="E14">
        <v>11.25</v>
      </c>
      <c r="F14">
        <v>0.5</v>
      </c>
      <c r="G14">
        <v>7.5</v>
      </c>
      <c r="H14">
        <v>0</v>
      </c>
      <c r="I14">
        <v>15</v>
      </c>
      <c r="J14">
        <v>0.75</v>
      </c>
      <c r="K14">
        <v>0</v>
      </c>
    </row>
    <row r="15" spans="2:11" x14ac:dyDescent="0.35">
      <c r="B15">
        <v>100</v>
      </c>
      <c r="C15">
        <v>40</v>
      </c>
      <c r="D15">
        <v>8.6865673938545357E-2</v>
      </c>
      <c r="E15">
        <v>3.4746269575418145</v>
      </c>
      <c r="F15">
        <v>8.2000000000000003E-2</v>
      </c>
      <c r="G15">
        <v>3.2800000000000002</v>
      </c>
    </row>
    <row r="16" spans="2:11" x14ac:dyDescent="0.35">
      <c r="B16">
        <v>60</v>
      </c>
      <c r="C16">
        <v>60</v>
      </c>
      <c r="D16">
        <v>0.75</v>
      </c>
      <c r="E16">
        <v>45</v>
      </c>
      <c r="F16">
        <v>0.5</v>
      </c>
      <c r="G16">
        <v>30</v>
      </c>
      <c r="H16">
        <v>60</v>
      </c>
      <c r="I16">
        <v>60</v>
      </c>
      <c r="J16">
        <v>0.75</v>
      </c>
      <c r="K16">
        <v>45</v>
      </c>
    </row>
    <row r="17" spans="2:11" x14ac:dyDescent="0.35">
      <c r="B17">
        <v>400</v>
      </c>
      <c r="C17">
        <v>325</v>
      </c>
      <c r="D17">
        <v>0.16305123494964477</v>
      </c>
      <c r="E17">
        <v>52.991651358634549</v>
      </c>
      <c r="F17">
        <v>8.2000000000000003E-2</v>
      </c>
      <c r="G17">
        <v>26.650000000000002</v>
      </c>
    </row>
    <row r="18" spans="2:11" x14ac:dyDescent="0.35">
      <c r="B18">
        <v>75</v>
      </c>
      <c r="C18">
        <v>75</v>
      </c>
      <c r="D18">
        <v>0.75</v>
      </c>
      <c r="E18">
        <v>56.25</v>
      </c>
      <c r="F18">
        <v>0.5</v>
      </c>
      <c r="G18">
        <v>37.5</v>
      </c>
      <c r="H18">
        <v>75</v>
      </c>
      <c r="I18">
        <v>75</v>
      </c>
      <c r="J18">
        <v>0.75</v>
      </c>
      <c r="K18">
        <v>56.25</v>
      </c>
    </row>
    <row r="20" spans="2:11" x14ac:dyDescent="0.35">
      <c r="E20">
        <v>651.49344924595471</v>
      </c>
      <c r="G20">
        <v>488.18199999999996</v>
      </c>
      <c r="H20">
        <f>SUM(H7:H18)</f>
        <v>285</v>
      </c>
      <c r="I20">
        <v>334</v>
      </c>
      <c r="J20">
        <f>K20/H20</f>
        <v>0.75</v>
      </c>
      <c r="K20">
        <f>SUM(K7:K18)</f>
        <v>213.75</v>
      </c>
    </row>
    <row r="22" spans="2:11" x14ac:dyDescent="0.35">
      <c r="D22" t="s">
        <v>136</v>
      </c>
      <c r="E22" t="s">
        <v>231</v>
      </c>
      <c r="G22" t="s">
        <v>230</v>
      </c>
      <c r="J22" t="s">
        <v>229</v>
      </c>
      <c r="K22" t="s">
        <v>231</v>
      </c>
    </row>
    <row r="23" spans="2:11" x14ac:dyDescent="0.35">
      <c r="D23" t="s">
        <v>138</v>
      </c>
      <c r="E23">
        <v>638.46358026103564</v>
      </c>
      <c r="G23">
        <v>478.41835999999995</v>
      </c>
      <c r="J23">
        <v>0.745</v>
      </c>
      <c r="K23">
        <v>216.82499999999999</v>
      </c>
    </row>
    <row r="24" spans="2:11" x14ac:dyDescent="0.35">
      <c r="D24" t="s">
        <v>140</v>
      </c>
      <c r="E24">
        <v>664.52331823087377</v>
      </c>
      <c r="G24">
        <v>497.94563999999997</v>
      </c>
      <c r="J24">
        <v>0.755</v>
      </c>
      <c r="K24">
        <v>225.67500000000001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2:T108"/>
  <sheetViews>
    <sheetView zoomScaleNormal="100" zoomScaleSheetLayoutView="40" workbookViewId="0">
      <selection activeCell="B1" sqref="B1"/>
    </sheetView>
  </sheetViews>
  <sheetFormatPr defaultColWidth="9.1796875" defaultRowHeight="14.5" x14ac:dyDescent="0.35"/>
  <cols>
    <col min="1" max="1" width="4.54296875" style="305" customWidth="1"/>
    <col min="2" max="2" width="8.26953125" style="305" customWidth="1"/>
    <col min="3" max="3" width="49.81640625" style="305" customWidth="1"/>
    <col min="4" max="5" width="12.7265625" style="305" customWidth="1"/>
    <col min="6" max="6" width="13.26953125" style="305" customWidth="1"/>
    <col min="7" max="7" width="11.54296875" style="305" customWidth="1"/>
    <col min="8" max="8" width="11.26953125" style="305" customWidth="1"/>
    <col min="9" max="10" width="11.1796875" style="305" customWidth="1"/>
    <col min="11" max="12" width="12" style="305" customWidth="1"/>
    <col min="13" max="13" width="10.54296875" style="305" customWidth="1"/>
    <col min="14" max="14" width="12" style="305" customWidth="1"/>
    <col min="15" max="15" width="10.1796875" style="305" customWidth="1"/>
    <col min="16" max="20" width="12" style="305" customWidth="1"/>
    <col min="21" max="16384" width="9.1796875" style="305"/>
  </cols>
  <sheetData>
    <row r="2" spans="2:20" x14ac:dyDescent="0.35">
      <c r="B2" s="450" t="str">
        <f>D_T01!B2</f>
        <v xml:space="preserve">Prescriptive Test: House T01 (Pr-T01) Characteristics – Location: Tampa, Florida. </v>
      </c>
      <c r="C2" s="450"/>
      <c r="D2" s="450"/>
      <c r="E2" s="450"/>
      <c r="F2" s="331"/>
    </row>
    <row r="3" spans="2:20" x14ac:dyDescent="0.35">
      <c r="B3" s="450" t="str">
        <f>D_T01!B3</f>
        <v>Single Family Detached Home with No Attached Garage, Single Story, Three bedroom.</v>
      </c>
      <c r="C3" s="450"/>
      <c r="D3" s="450"/>
      <c r="E3" s="450"/>
      <c r="F3" s="331"/>
    </row>
    <row r="4" spans="2:20" x14ac:dyDescent="0.35">
      <c r="E4" s="261"/>
    </row>
    <row r="5" spans="2:20" ht="18.75" customHeight="1" x14ac:dyDescent="0.35">
      <c r="B5" s="326" t="s">
        <v>411</v>
      </c>
      <c r="C5" s="326"/>
      <c r="D5" s="326"/>
      <c r="E5" s="326"/>
      <c r="F5" s="326"/>
      <c r="G5" s="326"/>
      <c r="H5" s="326"/>
      <c r="I5" s="326"/>
      <c r="J5" s="326"/>
      <c r="K5" s="513" t="str">
        <f>Selections!K18</f>
        <v>Fenestration Area</v>
      </c>
      <c r="L5" s="514"/>
      <c r="M5" s="515" t="str">
        <f>Selections!M18</f>
        <v>Rvalue Method</v>
      </c>
      <c r="N5" s="514"/>
      <c r="O5" s="515" t="str">
        <f>Selections!O18</f>
        <v>Uvalue Method</v>
      </c>
      <c r="P5" s="514"/>
      <c r="Q5" s="515" t="str">
        <f>Selections!Q18</f>
        <v>Rvalue Method</v>
      </c>
      <c r="R5" s="514"/>
      <c r="S5" s="515" t="str">
        <f>Selections!S18</f>
        <v>Uvalue Method</v>
      </c>
      <c r="T5" s="514"/>
    </row>
    <row r="6" spans="2:20" ht="48" customHeight="1" x14ac:dyDescent="0.35">
      <c r="B6" s="226"/>
      <c r="C6" s="227"/>
      <c r="D6" s="516" t="str">
        <f>Selections!D19</f>
        <v>Envelope Geometry (Area)</v>
      </c>
      <c r="E6" s="517"/>
      <c r="F6" s="518"/>
      <c r="G6" s="519" t="str">
        <f>Selections!G19</f>
        <v>Proposed Home</v>
      </c>
      <c r="H6" s="520"/>
      <c r="I6" s="519" t="str">
        <f>Selections!I19</f>
        <v>Reference Home</v>
      </c>
      <c r="J6" s="520"/>
      <c r="K6" s="511" t="str">
        <f>Selections!K19</f>
        <v>Compliance Method Fenestration Area</v>
      </c>
      <c r="L6" s="512"/>
      <c r="M6" s="511" t="str">
        <f>Selections!M19</f>
        <v>Window Area Weighted Avg Proposed U-Factor</v>
      </c>
      <c r="N6" s="512"/>
      <c r="O6" s="511" t="str">
        <f>Selections!O19</f>
        <v>Window Area Weighted Avg Proposed U-Factor</v>
      </c>
      <c r="P6" s="512"/>
      <c r="Q6" s="511" t="str">
        <f>Selections!Q19</f>
        <v>Window Area Weighted Avg Proposed SHGC</v>
      </c>
      <c r="R6" s="512"/>
      <c r="S6" s="511" t="str">
        <f>Selections!S19</f>
        <v>Window Area Weighted Avg Proposed SHGC</v>
      </c>
      <c r="T6" s="512"/>
    </row>
    <row r="7" spans="2:20" ht="39.75" customHeight="1" thickBot="1" x14ac:dyDescent="0.4">
      <c r="B7" s="231"/>
      <c r="C7" s="232" t="str">
        <f>Selections!C20</f>
        <v>Envelope Name</v>
      </c>
      <c r="D7" s="233" t="str">
        <f>Selections!D20</f>
        <v>Envelope Type</v>
      </c>
      <c r="E7" s="233" t="str">
        <f>Selections!E20</f>
        <v>Gross Area</v>
      </c>
      <c r="F7" s="233" t="str">
        <f>Selections!F20</f>
        <v>Net Area</v>
      </c>
      <c r="G7" s="234" t="str">
        <f>Selections!G20</f>
        <v>U-Factor Proposed</v>
      </c>
      <c r="H7" s="235" t="str">
        <f>Selections!H20</f>
        <v>UA-Value Proposed</v>
      </c>
      <c r="I7" s="233" t="str">
        <f>Selections!I20</f>
        <v>U-Factor Reference</v>
      </c>
      <c r="J7" s="235" t="str">
        <f>Selections!J20</f>
        <v>UA-Value Reference</v>
      </c>
      <c r="K7" s="236" t="str">
        <f>Selections!K20</f>
        <v>R-Value Method</v>
      </c>
      <c r="L7" s="236" t="str">
        <f>Selections!L20</f>
        <v>U-Factor Method</v>
      </c>
      <c r="M7" s="236" t="str">
        <f>Selections!M20</f>
        <v>U-Factor</v>
      </c>
      <c r="N7" s="236" t="str">
        <f>Selections!N20</f>
        <v>UA-Value</v>
      </c>
      <c r="O7" s="236" t="str">
        <f>Selections!O20</f>
        <v>U-Factor</v>
      </c>
      <c r="P7" s="236" t="str">
        <f>Selections!P20</f>
        <v>UA-Value</v>
      </c>
      <c r="Q7" s="236" t="str">
        <f>Selections!Q20</f>
        <v>SHGC</v>
      </c>
      <c r="R7" s="236" t="str">
        <f>Selections!R20</f>
        <v>SHGC x Area</v>
      </c>
      <c r="S7" s="236" t="str">
        <f>Selections!S20</f>
        <v>SHGC</v>
      </c>
      <c r="T7" s="236" t="str">
        <f>Selections!T20</f>
        <v>SHGC x Area</v>
      </c>
    </row>
    <row r="8" spans="2:20" ht="15" customHeight="1" thickTop="1" x14ac:dyDescent="0.35">
      <c r="B8" s="303">
        <v>1</v>
      </c>
      <c r="C8" s="223" t="str">
        <f>D_T01!B8</f>
        <v>Slab-on-grade Floor</v>
      </c>
      <c r="D8" s="38" t="s">
        <v>30</v>
      </c>
      <c r="E8" s="39"/>
      <c r="F8" s="40"/>
      <c r="G8" s="41"/>
      <c r="H8" s="40"/>
      <c r="I8" s="287"/>
      <c r="J8" s="287"/>
      <c r="K8" s="38"/>
      <c r="L8" s="40"/>
      <c r="M8" s="39"/>
      <c r="N8" s="40"/>
      <c r="O8" s="43"/>
      <c r="P8" s="40"/>
      <c r="Q8" s="43"/>
      <c r="R8" s="40"/>
      <c r="S8" s="43"/>
      <c r="T8" s="40"/>
    </row>
    <row r="9" spans="2:20" ht="15" customHeight="1" x14ac:dyDescent="0.35">
      <c r="B9" s="262">
        <v>2</v>
      </c>
      <c r="C9" s="224" t="str">
        <f>D_T01!B9</f>
        <v>Roof – gable type- 5 in 12 slope No overhangs</v>
      </c>
      <c r="D9" s="46" t="s">
        <v>33</v>
      </c>
      <c r="E9" s="263"/>
      <c r="F9" s="48"/>
      <c r="G9" s="46"/>
      <c r="H9" s="48"/>
      <c r="I9" s="263"/>
      <c r="J9" s="263"/>
      <c r="K9" s="46"/>
      <c r="L9" s="48"/>
      <c r="M9" s="263"/>
      <c r="N9" s="48"/>
      <c r="O9" s="262"/>
      <c r="P9" s="48"/>
      <c r="Q9" s="262"/>
      <c r="R9" s="48"/>
      <c r="S9" s="262"/>
      <c r="T9" s="48"/>
    </row>
    <row r="10" spans="2:20" ht="15" customHeight="1" x14ac:dyDescent="0.35">
      <c r="B10" s="262">
        <v>3</v>
      </c>
      <c r="C10" s="224" t="str">
        <f>D_T01!B10</f>
        <v>Ceiling1 –flat under attic</v>
      </c>
      <c r="D10" s="46" t="s">
        <v>34</v>
      </c>
      <c r="E10" s="133">
        <f>D_T01!G10</f>
        <v>2000</v>
      </c>
      <c r="F10" s="205">
        <f>E10-E11</f>
        <v>1990</v>
      </c>
      <c r="G10" s="206">
        <f>D57</f>
        <v>3.4532095288602439E-2</v>
      </c>
      <c r="H10" s="202">
        <f t="shared" ref="H10:H22" si="0">$G10*$F10</f>
        <v>68.718869624318856</v>
      </c>
      <c r="I10" s="136">
        <f>D35</f>
        <v>0.03</v>
      </c>
      <c r="J10" s="124">
        <f t="shared" ref="J10:J22" si="1">$I10*$F10</f>
        <v>59.699999999999996</v>
      </c>
      <c r="K10" s="50"/>
      <c r="L10" s="49"/>
      <c r="M10" s="263"/>
      <c r="N10" s="48"/>
      <c r="O10" s="262"/>
      <c r="P10" s="48"/>
      <c r="Q10" s="262"/>
      <c r="R10" s="48"/>
      <c r="S10" s="262"/>
      <c r="T10" s="48"/>
    </row>
    <row r="11" spans="2:20" ht="15" customHeight="1" x14ac:dyDescent="0.35">
      <c r="B11" s="262">
        <v>4</v>
      </c>
      <c r="C11" s="224" t="str">
        <f>D_T01!B11</f>
        <v xml:space="preserve">        Skylight</v>
      </c>
      <c r="D11" s="46" t="s">
        <v>35</v>
      </c>
      <c r="E11" s="133">
        <f>D_T01!G11</f>
        <v>10</v>
      </c>
      <c r="F11" s="205">
        <f>E11</f>
        <v>10</v>
      </c>
      <c r="G11" s="206">
        <f>D_T01!E11</f>
        <v>0.65</v>
      </c>
      <c r="H11" s="202">
        <f t="shared" si="0"/>
        <v>6.5</v>
      </c>
      <c r="I11" s="136">
        <f>D38</f>
        <v>0.65</v>
      </c>
      <c r="J11" s="124">
        <f t="shared" si="1"/>
        <v>6.5</v>
      </c>
      <c r="K11" s="201">
        <v>0</v>
      </c>
      <c r="L11" s="202">
        <f>E11</f>
        <v>10</v>
      </c>
      <c r="M11" s="136">
        <f>$G11</f>
        <v>0.65</v>
      </c>
      <c r="N11" s="202">
        <f>K11*M11</f>
        <v>0</v>
      </c>
      <c r="O11" s="339">
        <f>$G11</f>
        <v>0.65</v>
      </c>
      <c r="P11" s="202">
        <f>O11*L11</f>
        <v>6.5</v>
      </c>
      <c r="Q11" s="339">
        <f>D_T01!F11</f>
        <v>0.25</v>
      </c>
      <c r="R11" s="202">
        <f>K11*Q11</f>
        <v>0</v>
      </c>
      <c r="S11" s="339">
        <f>$Q11</f>
        <v>0.25</v>
      </c>
      <c r="T11" s="202">
        <f>S11*L11</f>
        <v>2.5</v>
      </c>
    </row>
    <row r="12" spans="2:20" ht="15" customHeight="1" x14ac:dyDescent="0.35">
      <c r="B12" s="262">
        <v>5</v>
      </c>
      <c r="C12" s="224" t="str">
        <f>D_T01!B12</f>
        <v>Wall 1 –faces North, CBS2</v>
      </c>
      <c r="D12" s="46" t="s">
        <v>36</v>
      </c>
      <c r="E12" s="133">
        <f>D_T01!G12</f>
        <v>500</v>
      </c>
      <c r="F12" s="205">
        <f>E12-E13-E14</f>
        <v>401</v>
      </c>
      <c r="G12" s="206">
        <f>D73</f>
        <v>0.10312926159551063</v>
      </c>
      <c r="H12" s="202">
        <f t="shared" si="0"/>
        <v>41.354833899799765</v>
      </c>
      <c r="I12" s="136">
        <f>D36</f>
        <v>0.14000000000000001</v>
      </c>
      <c r="J12" s="124">
        <f t="shared" si="1"/>
        <v>56.140000000000008</v>
      </c>
      <c r="K12" s="201"/>
      <c r="L12" s="202"/>
      <c r="M12" s="133"/>
      <c r="N12" s="203"/>
      <c r="O12" s="338"/>
      <c r="P12" s="203"/>
      <c r="Q12" s="338"/>
      <c r="R12" s="203"/>
      <c r="S12" s="339"/>
      <c r="T12" s="203"/>
    </row>
    <row r="13" spans="2:20" ht="15" customHeight="1" x14ac:dyDescent="0.35">
      <c r="B13" s="262">
        <v>6</v>
      </c>
      <c r="C13" s="224" t="str">
        <f>D_T01!B13</f>
        <v xml:space="preserve">        Door 1 - </v>
      </c>
      <c r="D13" s="46" t="s">
        <v>38</v>
      </c>
      <c r="E13" s="133">
        <f>D_T01!G13</f>
        <v>24</v>
      </c>
      <c r="F13" s="205">
        <f>E13</f>
        <v>24</v>
      </c>
      <c r="G13" s="206">
        <f>D_T01!E13</f>
        <v>0.4</v>
      </c>
      <c r="H13" s="202">
        <f t="shared" si="0"/>
        <v>9.6000000000000014</v>
      </c>
      <c r="I13" s="136">
        <f>D39</f>
        <v>0.4</v>
      </c>
      <c r="J13" s="124">
        <f t="shared" si="1"/>
        <v>9.6000000000000014</v>
      </c>
      <c r="K13" s="201">
        <f>IF(E13&lt;=Selections!$C$32,0,E13)</f>
        <v>0</v>
      </c>
      <c r="L13" s="202">
        <f>E13</f>
        <v>24</v>
      </c>
      <c r="M13" s="133">
        <v>0</v>
      </c>
      <c r="N13" s="202">
        <f>K13*M13</f>
        <v>0</v>
      </c>
      <c r="O13" s="339">
        <f>$G13</f>
        <v>0.4</v>
      </c>
      <c r="P13" s="202">
        <f>O13*L13</f>
        <v>9.6000000000000014</v>
      </c>
      <c r="Q13" s="338">
        <f>D_T01!F13</f>
        <v>0</v>
      </c>
      <c r="R13" s="202">
        <f>K13*Q13</f>
        <v>0</v>
      </c>
      <c r="S13" s="138">
        <f t="shared" ref="S13:S22" si="2">$Q13</f>
        <v>0</v>
      </c>
      <c r="T13" s="202">
        <f>S13*L13</f>
        <v>0</v>
      </c>
    </row>
    <row r="14" spans="2:20" ht="15" customHeight="1" x14ac:dyDescent="0.35">
      <c r="B14" s="262">
        <v>7</v>
      </c>
      <c r="C14" s="224" t="str">
        <f>D_T01!B14</f>
        <v xml:space="preserve">        Window 1 – Vinyl Frame Low-e Double</v>
      </c>
      <c r="D14" s="46" t="s">
        <v>37</v>
      </c>
      <c r="E14" s="133">
        <f>D_T01!G14</f>
        <v>75</v>
      </c>
      <c r="F14" s="205">
        <f>E14</f>
        <v>75</v>
      </c>
      <c r="G14" s="206">
        <f>D_T01!E14</f>
        <v>0.4</v>
      </c>
      <c r="H14" s="202">
        <f t="shared" si="0"/>
        <v>30</v>
      </c>
      <c r="I14" s="136">
        <f>D40</f>
        <v>0.4</v>
      </c>
      <c r="J14" s="124">
        <f t="shared" si="1"/>
        <v>30</v>
      </c>
      <c r="K14" s="201">
        <f>IF(E14&lt;=Selections!$C$33,0,E14)</f>
        <v>75</v>
      </c>
      <c r="L14" s="202">
        <f>E14</f>
        <v>75</v>
      </c>
      <c r="M14" s="136">
        <f>$G14</f>
        <v>0.4</v>
      </c>
      <c r="N14" s="202">
        <f>K14*M14</f>
        <v>30</v>
      </c>
      <c r="O14" s="339">
        <f>$G14</f>
        <v>0.4</v>
      </c>
      <c r="P14" s="202">
        <f>O14*L14</f>
        <v>30</v>
      </c>
      <c r="Q14" s="339">
        <f>D_T01!F14</f>
        <v>0.25</v>
      </c>
      <c r="R14" s="202">
        <f>K14*Q14</f>
        <v>18.75</v>
      </c>
      <c r="S14" s="339">
        <f t="shared" si="2"/>
        <v>0.25</v>
      </c>
      <c r="T14" s="202">
        <f>S14*L14</f>
        <v>18.75</v>
      </c>
    </row>
    <row r="15" spans="2:20" ht="15" customHeight="1" x14ac:dyDescent="0.35">
      <c r="B15" s="262">
        <v>8</v>
      </c>
      <c r="C15" s="224" t="str">
        <f>D_T01!B15</f>
        <v>Wall 2 –faces East, CBS</v>
      </c>
      <c r="D15" s="51" t="s">
        <v>36</v>
      </c>
      <c r="E15" s="133">
        <f>D_T01!G15</f>
        <v>400</v>
      </c>
      <c r="F15" s="205">
        <f>E15-E16</f>
        <v>325</v>
      </c>
      <c r="G15" s="206">
        <f>D73</f>
        <v>0.10312926159551063</v>
      </c>
      <c r="H15" s="202">
        <f t="shared" si="0"/>
        <v>33.517010018540951</v>
      </c>
      <c r="I15" s="136">
        <f>D36</f>
        <v>0.14000000000000001</v>
      </c>
      <c r="J15" s="124">
        <f t="shared" si="1"/>
        <v>45.500000000000007</v>
      </c>
      <c r="K15" s="201"/>
      <c r="L15" s="202"/>
      <c r="M15" s="133"/>
      <c r="N15" s="203"/>
      <c r="O15" s="338"/>
      <c r="P15" s="203"/>
      <c r="Q15" s="338"/>
      <c r="R15" s="203"/>
      <c r="S15" s="339"/>
      <c r="T15" s="203"/>
    </row>
    <row r="16" spans="2:20" ht="15" customHeight="1" x14ac:dyDescent="0.35">
      <c r="B16" s="262">
        <v>9</v>
      </c>
      <c r="C16" s="224" t="str">
        <f>D_T01!B16</f>
        <v xml:space="preserve">        Window 2 – Vinyl Frame Low-e Double</v>
      </c>
      <c r="D16" s="46" t="s">
        <v>37</v>
      </c>
      <c r="E16" s="133">
        <f>D_T01!G16</f>
        <v>75</v>
      </c>
      <c r="F16" s="205">
        <f>E16</f>
        <v>75</v>
      </c>
      <c r="G16" s="206">
        <f>D_T01!E16</f>
        <v>0.4</v>
      </c>
      <c r="H16" s="202">
        <f t="shared" si="0"/>
        <v>30</v>
      </c>
      <c r="I16" s="136">
        <f>D40</f>
        <v>0.4</v>
      </c>
      <c r="J16" s="124">
        <f t="shared" si="1"/>
        <v>30</v>
      </c>
      <c r="K16" s="201">
        <f>IF(E16&lt;=Selections!$C$33,0,E16)</f>
        <v>75</v>
      </c>
      <c r="L16" s="202">
        <f>E16</f>
        <v>75</v>
      </c>
      <c r="M16" s="136">
        <f>$G16</f>
        <v>0.4</v>
      </c>
      <c r="N16" s="202">
        <f>K16*M16</f>
        <v>30</v>
      </c>
      <c r="O16" s="339">
        <f>$G16</f>
        <v>0.4</v>
      </c>
      <c r="P16" s="202">
        <f>O16*L16</f>
        <v>30</v>
      </c>
      <c r="Q16" s="339">
        <f>D_T01!F16</f>
        <v>0.25</v>
      </c>
      <c r="R16" s="202">
        <f>K16*Q16</f>
        <v>18.75</v>
      </c>
      <c r="S16" s="339">
        <f t="shared" si="2"/>
        <v>0.25</v>
      </c>
      <c r="T16" s="202">
        <f>S16*L16</f>
        <v>18.75</v>
      </c>
    </row>
    <row r="17" spans="2:20" ht="15" customHeight="1" x14ac:dyDescent="0.35">
      <c r="B17" s="262">
        <v>10</v>
      </c>
      <c r="C17" s="224" t="str">
        <f>D_T01!B17</f>
        <v>Wall 3 –faces South, CBS</v>
      </c>
      <c r="D17" s="46" t="s">
        <v>36</v>
      </c>
      <c r="E17" s="133">
        <f>D_T01!G17</f>
        <v>400</v>
      </c>
      <c r="F17" s="205">
        <f>E17-E18</f>
        <v>385</v>
      </c>
      <c r="G17" s="206">
        <f>D73</f>
        <v>0.10312926159551063</v>
      </c>
      <c r="H17" s="202">
        <f t="shared" si="0"/>
        <v>39.704765714271595</v>
      </c>
      <c r="I17" s="136">
        <f>D36</f>
        <v>0.14000000000000001</v>
      </c>
      <c r="J17" s="124">
        <f t="shared" si="1"/>
        <v>53.900000000000006</v>
      </c>
      <c r="K17" s="201"/>
      <c r="L17" s="202"/>
      <c r="M17" s="133"/>
      <c r="N17" s="203"/>
      <c r="O17" s="338"/>
      <c r="P17" s="203"/>
      <c r="Q17" s="338"/>
      <c r="R17" s="203"/>
      <c r="S17" s="339"/>
      <c r="T17" s="203"/>
    </row>
    <row r="18" spans="2:20" ht="15" customHeight="1" x14ac:dyDescent="0.35">
      <c r="B18" s="262">
        <v>11</v>
      </c>
      <c r="C18" s="224" t="str">
        <f>D_T01!B18</f>
        <v xml:space="preserve">        Window 3 – Vinyl Frame Low-e Double</v>
      </c>
      <c r="D18" s="46" t="s">
        <v>37</v>
      </c>
      <c r="E18" s="133">
        <f>D_T01!G18</f>
        <v>15</v>
      </c>
      <c r="F18" s="205">
        <f>E18</f>
        <v>15</v>
      </c>
      <c r="G18" s="206">
        <f>D_T01!E18</f>
        <v>0.4</v>
      </c>
      <c r="H18" s="202">
        <f t="shared" si="0"/>
        <v>6</v>
      </c>
      <c r="I18" s="136">
        <f>D40</f>
        <v>0.4</v>
      </c>
      <c r="J18" s="124">
        <f t="shared" si="1"/>
        <v>6</v>
      </c>
      <c r="K18" s="201">
        <v>15</v>
      </c>
      <c r="L18" s="202">
        <f>E18</f>
        <v>15</v>
      </c>
      <c r="M18" s="136">
        <f>$G18</f>
        <v>0.4</v>
      </c>
      <c r="N18" s="202">
        <f>K18*M18</f>
        <v>6</v>
      </c>
      <c r="O18" s="339">
        <f>$G18</f>
        <v>0.4</v>
      </c>
      <c r="P18" s="202">
        <f>O18*L18</f>
        <v>6</v>
      </c>
      <c r="Q18" s="339">
        <f>D_T01!F18</f>
        <v>0.25</v>
      </c>
      <c r="R18" s="202">
        <f>K18*Q18</f>
        <v>3.75</v>
      </c>
      <c r="S18" s="339">
        <f t="shared" si="2"/>
        <v>0.25</v>
      </c>
      <c r="T18" s="202">
        <f>S18*L18</f>
        <v>3.75</v>
      </c>
    </row>
    <row r="19" spans="2:20" ht="15" customHeight="1" x14ac:dyDescent="0.35">
      <c r="B19" s="262">
        <v>12</v>
      </c>
      <c r="C19" s="224" t="str">
        <f>D_T01!B19</f>
        <v>Wall 4 –faces South, Wood3 2x4 Stud</v>
      </c>
      <c r="D19" s="46" t="s">
        <v>36</v>
      </c>
      <c r="E19" s="133">
        <f>D_T01!G19</f>
        <v>100</v>
      </c>
      <c r="F19" s="205">
        <f>E19-E20</f>
        <v>40</v>
      </c>
      <c r="G19" s="206">
        <f>D88</f>
        <v>8.6865673938545357E-2</v>
      </c>
      <c r="H19" s="202">
        <f t="shared" si="0"/>
        <v>3.4746269575418145</v>
      </c>
      <c r="I19" s="136">
        <f>D37</f>
        <v>8.2000000000000003E-2</v>
      </c>
      <c r="J19" s="124">
        <f t="shared" si="1"/>
        <v>3.2800000000000002</v>
      </c>
      <c r="K19" s="201"/>
      <c r="L19" s="202"/>
      <c r="M19" s="133"/>
      <c r="N19" s="203"/>
      <c r="O19" s="338"/>
      <c r="P19" s="203"/>
      <c r="Q19" s="338"/>
      <c r="R19" s="203"/>
      <c r="S19" s="339"/>
      <c r="T19" s="203"/>
    </row>
    <row r="20" spans="2:20" ht="15" customHeight="1" x14ac:dyDescent="0.35">
      <c r="B20" s="262">
        <v>13</v>
      </c>
      <c r="C20" s="224" t="str">
        <f>D_T01!B20</f>
        <v xml:space="preserve">        Window 4 – Vinyl Frame  Low-e Double</v>
      </c>
      <c r="D20" s="46" t="s">
        <v>37</v>
      </c>
      <c r="E20" s="133">
        <f>D_T01!G20</f>
        <v>60</v>
      </c>
      <c r="F20" s="205">
        <f>E20</f>
        <v>60</v>
      </c>
      <c r="G20" s="206">
        <f>D_T01!E20</f>
        <v>0.4</v>
      </c>
      <c r="H20" s="202">
        <f t="shared" si="0"/>
        <v>24</v>
      </c>
      <c r="I20" s="136">
        <f>D40</f>
        <v>0.4</v>
      </c>
      <c r="J20" s="124">
        <f t="shared" si="1"/>
        <v>24</v>
      </c>
      <c r="K20" s="201">
        <f>IF(E20&lt;=Selections!$C$33,0,E20)</f>
        <v>60</v>
      </c>
      <c r="L20" s="202">
        <f>E20</f>
        <v>60</v>
      </c>
      <c r="M20" s="136">
        <f>$G20</f>
        <v>0.4</v>
      </c>
      <c r="N20" s="202">
        <f>K20*M20</f>
        <v>24</v>
      </c>
      <c r="O20" s="339">
        <f>$G20</f>
        <v>0.4</v>
      </c>
      <c r="P20" s="202">
        <f>O20*L20</f>
        <v>24</v>
      </c>
      <c r="Q20" s="339">
        <f>D_T01!F20</f>
        <v>0.25</v>
      </c>
      <c r="R20" s="202">
        <f>K20*Q20</f>
        <v>15</v>
      </c>
      <c r="S20" s="339">
        <f t="shared" si="2"/>
        <v>0.25</v>
      </c>
      <c r="T20" s="202">
        <f>S20*L20</f>
        <v>15</v>
      </c>
    </row>
    <row r="21" spans="2:20" ht="15" customHeight="1" x14ac:dyDescent="0.35">
      <c r="B21" s="262">
        <v>14</v>
      </c>
      <c r="C21" s="224" t="str">
        <f>D_T01!B21</f>
        <v>Wall 5 –faces West, CBS</v>
      </c>
      <c r="D21" s="46" t="s">
        <v>36</v>
      </c>
      <c r="E21" s="133">
        <f>D_T01!G21</f>
        <v>400</v>
      </c>
      <c r="F21" s="205">
        <f>E21-E22</f>
        <v>325</v>
      </c>
      <c r="G21" s="206">
        <f>D73</f>
        <v>0.10312926159551063</v>
      </c>
      <c r="H21" s="202">
        <f t="shared" si="0"/>
        <v>33.517010018540951</v>
      </c>
      <c r="I21" s="136">
        <f>D36</f>
        <v>0.14000000000000001</v>
      </c>
      <c r="J21" s="124">
        <f t="shared" si="1"/>
        <v>45.500000000000007</v>
      </c>
      <c r="K21" s="201"/>
      <c r="L21" s="202"/>
      <c r="M21" s="133"/>
      <c r="N21" s="203"/>
      <c r="O21" s="338"/>
      <c r="P21" s="203"/>
      <c r="Q21" s="338"/>
      <c r="R21" s="203"/>
      <c r="S21" s="339"/>
      <c r="T21" s="203"/>
    </row>
    <row r="22" spans="2:20" ht="15" customHeight="1" x14ac:dyDescent="0.35">
      <c r="B22" s="275">
        <v>15</v>
      </c>
      <c r="C22" s="225" t="str">
        <f>D_T01!B22</f>
        <v xml:space="preserve">        Window 5 – Vinyl Frame Low-e Double</v>
      </c>
      <c r="D22" s="53" t="s">
        <v>37</v>
      </c>
      <c r="E22" s="207">
        <f>D_T01!G22</f>
        <v>75</v>
      </c>
      <c r="F22" s="208">
        <f>E22</f>
        <v>75</v>
      </c>
      <c r="G22" s="209">
        <f>D_T01!E22</f>
        <v>0.4</v>
      </c>
      <c r="H22" s="204">
        <f t="shared" si="0"/>
        <v>30</v>
      </c>
      <c r="I22" s="125">
        <f>D40</f>
        <v>0.4</v>
      </c>
      <c r="J22" s="210">
        <f t="shared" si="1"/>
        <v>30</v>
      </c>
      <c r="K22" s="201">
        <f>IF(E22&lt;=Selections!$C$33,0,E22)</f>
        <v>75</v>
      </c>
      <c r="L22" s="204">
        <f>E22</f>
        <v>75</v>
      </c>
      <c r="M22" s="136">
        <f>$G22</f>
        <v>0.4</v>
      </c>
      <c r="N22" s="202">
        <f>K22*M22</f>
        <v>30</v>
      </c>
      <c r="O22" s="339">
        <f>$G22</f>
        <v>0.4</v>
      </c>
      <c r="P22" s="202">
        <f>O22*L22</f>
        <v>30</v>
      </c>
      <c r="Q22" s="339">
        <f>D_T01!F22</f>
        <v>0.25</v>
      </c>
      <c r="R22" s="202">
        <f>K22*Q22</f>
        <v>18.75</v>
      </c>
      <c r="S22" s="339">
        <f t="shared" si="2"/>
        <v>0.25</v>
      </c>
      <c r="T22" s="202">
        <f>S22*L22</f>
        <v>18.75</v>
      </c>
    </row>
    <row r="23" spans="2:20" ht="3.75" customHeight="1" x14ac:dyDescent="0.35">
      <c r="B23" s="316"/>
      <c r="C23" s="277"/>
      <c r="D23" s="55"/>
      <c r="E23" s="317"/>
      <c r="F23" s="56"/>
      <c r="G23" s="55"/>
      <c r="H23" s="56"/>
      <c r="I23" s="317"/>
      <c r="J23" s="317"/>
      <c r="K23" s="55"/>
      <c r="L23" s="56"/>
      <c r="M23" s="330"/>
      <c r="N23" s="58"/>
      <c r="O23" s="277"/>
      <c r="P23" s="58"/>
      <c r="Q23" s="277"/>
      <c r="R23" s="58"/>
      <c r="S23" s="277"/>
      <c r="T23" s="58"/>
    </row>
    <row r="24" spans="2:20" ht="15.5" x14ac:dyDescent="0.35">
      <c r="B24" s="328"/>
      <c r="C24" s="329" t="s">
        <v>134</v>
      </c>
      <c r="D24" s="61"/>
      <c r="E24" s="330"/>
      <c r="F24" s="58"/>
      <c r="G24" s="452"/>
      <c r="H24" s="453">
        <f>SUM(H10:H22)</f>
        <v>356.38711623301396</v>
      </c>
      <c r="I24" s="454"/>
      <c r="J24" s="455">
        <f>SUM(J10:J22)</f>
        <v>400.12</v>
      </c>
      <c r="K24" s="456">
        <f>SUM(K10:K22)</f>
        <v>300</v>
      </c>
      <c r="L24" s="453">
        <f>SUM(L10:L22)</f>
        <v>334</v>
      </c>
      <c r="M24" s="457">
        <f>N24/K24</f>
        <v>0.4</v>
      </c>
      <c r="N24" s="453">
        <f>SUM(N10:N22)</f>
        <v>120</v>
      </c>
      <c r="O24" s="458">
        <f>P24/L24</f>
        <v>0.40748502994011976</v>
      </c>
      <c r="P24" s="453">
        <f>SUM(P10:P22)</f>
        <v>136.1</v>
      </c>
      <c r="Q24" s="458">
        <f>R24/K24</f>
        <v>0.25</v>
      </c>
      <c r="R24" s="453">
        <f>SUM(R10:R22)</f>
        <v>75</v>
      </c>
      <c r="S24" s="458">
        <f>T24/(L24-L13)</f>
        <v>0.25</v>
      </c>
      <c r="T24" s="453">
        <f>SUM(T10:T22)</f>
        <v>77.5</v>
      </c>
    </row>
    <row r="25" spans="2:20" ht="9.75" customHeight="1" x14ac:dyDescent="0.35">
      <c r="B25" s="335"/>
      <c r="C25" s="336"/>
      <c r="D25" s="64"/>
      <c r="E25" s="64"/>
      <c r="F25" s="64"/>
      <c r="G25" s="64"/>
      <c r="H25" s="65"/>
      <c r="I25" s="66"/>
      <c r="J25" s="65"/>
      <c r="K25" s="65"/>
      <c r="L25" s="65"/>
      <c r="M25" s="67"/>
      <c r="N25" s="65"/>
      <c r="O25" s="67"/>
      <c r="P25" s="65"/>
      <c r="Q25" s="67"/>
      <c r="R25" s="65"/>
      <c r="S25" s="67"/>
      <c r="T25" s="65"/>
    </row>
    <row r="26" spans="2:20" ht="45" customHeight="1" x14ac:dyDescent="0.35">
      <c r="B26" s="335"/>
      <c r="C26" s="212" t="str">
        <f>Selections!B25</f>
        <v>UA allowed deviation range in %</v>
      </c>
      <c r="D26" s="221">
        <f>Selections!C25</f>
        <v>0.02</v>
      </c>
      <c r="E26" s="320"/>
      <c r="G26" s="261" t="s">
        <v>136</v>
      </c>
      <c r="H26" s="144" t="s">
        <v>231</v>
      </c>
      <c r="J26" s="144" t="s">
        <v>230</v>
      </c>
      <c r="M26" s="144" t="s">
        <v>229</v>
      </c>
      <c r="N26" s="144" t="s">
        <v>231</v>
      </c>
      <c r="O26" s="144" t="s">
        <v>229</v>
      </c>
      <c r="P26" s="144" t="s">
        <v>231</v>
      </c>
      <c r="Q26" s="144" t="s">
        <v>232</v>
      </c>
      <c r="R26" s="144" t="s">
        <v>233</v>
      </c>
      <c r="S26" s="144" t="s">
        <v>232</v>
      </c>
      <c r="T26" s="144" t="s">
        <v>233</v>
      </c>
    </row>
    <row r="27" spans="2:20" x14ac:dyDescent="0.35">
      <c r="C27" s="212" t="str">
        <f>Selections!B26</f>
        <v>U-Factor allowed deviation range absolute</v>
      </c>
      <c r="D27" s="222">
        <f>Selections!C26</f>
        <v>5.0000000000000001E-3</v>
      </c>
      <c r="G27" s="261" t="s">
        <v>138</v>
      </c>
      <c r="H27" s="211">
        <f>H24-(H24*$D$26)</f>
        <v>349.25937390835367</v>
      </c>
      <c r="J27" s="211">
        <f>J24-(J24*$D$26)</f>
        <v>392.11759999999998</v>
      </c>
      <c r="K27" s="212"/>
      <c r="L27" s="212"/>
      <c r="M27" s="213">
        <f>M$24-$D$27</f>
        <v>0.39500000000000002</v>
      </c>
      <c r="N27" s="214">
        <f>N$24-$D$26*N$24</f>
        <v>117.6</v>
      </c>
      <c r="O27" s="215">
        <f>O$24-$D$27</f>
        <v>0.40248502994011975</v>
      </c>
      <c r="P27" s="214">
        <f>P$24-$D$26*P$24</f>
        <v>133.37799999999999</v>
      </c>
      <c r="Q27" s="215">
        <f>Q$24-$D$28</f>
        <v>0.245</v>
      </c>
      <c r="R27" s="214">
        <f>R$24-$D$26*R$24</f>
        <v>73.5</v>
      </c>
      <c r="S27" s="215">
        <f>S$24-$D$28</f>
        <v>0.245</v>
      </c>
      <c r="T27" s="214">
        <f>T$24-$D$26*T$24</f>
        <v>75.95</v>
      </c>
    </row>
    <row r="28" spans="2:20" x14ac:dyDescent="0.35">
      <c r="C28" s="212" t="str">
        <f>Selections!B27</f>
        <v>SHGC allowed deviation range absolute</v>
      </c>
      <c r="D28" s="222">
        <f>Selections!C27</f>
        <v>5.0000000000000001E-3</v>
      </c>
      <c r="G28" s="261" t="s">
        <v>140</v>
      </c>
      <c r="H28" s="211">
        <f>H24*(1+$D$26)</f>
        <v>363.51485855767424</v>
      </c>
      <c r="J28" s="211">
        <f>J24*(1+$D$26)</f>
        <v>408.12240000000003</v>
      </c>
      <c r="K28" s="212"/>
      <c r="L28" s="212"/>
      <c r="M28" s="213">
        <f>M$24+$D$27</f>
        <v>0.40500000000000003</v>
      </c>
      <c r="N28" s="214">
        <f>N$24+$D$26*N$24</f>
        <v>122.4</v>
      </c>
      <c r="O28" s="215">
        <f>O$24+$D$28</f>
        <v>0.41248502994011976</v>
      </c>
      <c r="P28" s="214">
        <f>P$24+$D$26*P$24</f>
        <v>138.822</v>
      </c>
      <c r="Q28" s="215">
        <f>Q$24+$D$28</f>
        <v>0.255</v>
      </c>
      <c r="R28" s="214">
        <f>R$24+$D$26*R$24</f>
        <v>76.5</v>
      </c>
      <c r="S28" s="215">
        <f>S$24+$D$28</f>
        <v>0.255</v>
      </c>
      <c r="T28" s="214">
        <f>T$24+$D$26*T$24</f>
        <v>79.05</v>
      </c>
    </row>
    <row r="29" spans="2:20" x14ac:dyDescent="0.35">
      <c r="D29" s="261"/>
      <c r="G29" s="261"/>
      <c r="I29" s="342"/>
      <c r="J29" s="342"/>
      <c r="M29" s="260"/>
      <c r="N29" s="259"/>
      <c r="O29" s="73"/>
      <c r="P29" s="259"/>
      <c r="Q29" s="73"/>
      <c r="R29" s="259"/>
      <c r="S29" s="73"/>
      <c r="T29" s="259"/>
    </row>
    <row r="30" spans="2:20" ht="13.5" customHeight="1" x14ac:dyDescent="0.35">
      <c r="B30" s="305" t="s">
        <v>241</v>
      </c>
      <c r="G30" s="305" t="s">
        <v>425</v>
      </c>
      <c r="H30" s="449">
        <f>SUM(H14,H16,H18,H20,H22+H11)</f>
        <v>126.5</v>
      </c>
      <c r="J30" s="449">
        <f>SUM(J14,J16,J18,J20,J22+J11)</f>
        <v>126.5</v>
      </c>
    </row>
    <row r="31" spans="2:20" ht="19.5" customHeight="1" x14ac:dyDescent="0.35">
      <c r="B31" s="239" t="s">
        <v>259</v>
      </c>
      <c r="C31" s="329"/>
      <c r="D31" s="240"/>
      <c r="E31" s="64"/>
      <c r="F31" s="64"/>
      <c r="G31" s="64" t="s">
        <v>427</v>
      </c>
      <c r="H31" s="461">
        <f>1*H13</f>
        <v>9.6000000000000014</v>
      </c>
      <c r="I31" s="259"/>
      <c r="J31" s="461">
        <f>1*J13</f>
        <v>9.6000000000000014</v>
      </c>
      <c r="K31" s="259"/>
      <c r="L31" s="259"/>
      <c r="M31" s="73"/>
      <c r="N31" s="73"/>
      <c r="O31" s="259"/>
      <c r="P31" s="73"/>
      <c r="Q31" s="73"/>
      <c r="R31" s="462"/>
      <c r="S31" s="463"/>
      <c r="T31" s="462"/>
    </row>
    <row r="32" spans="2:20" ht="43.5" customHeight="1" x14ac:dyDescent="0.35">
      <c r="B32" s="276"/>
      <c r="C32" s="299" t="s">
        <v>141</v>
      </c>
      <c r="D32" s="281" t="s">
        <v>234</v>
      </c>
      <c r="F32" s="320"/>
      <c r="G32" s="320" t="s">
        <v>426</v>
      </c>
      <c r="H32" s="471">
        <f>SUM(H12,H15,H17,H19,H21)</f>
        <v>151.56824660869506</v>
      </c>
      <c r="J32" s="471">
        <f>SUM(J12,J15,J17,J19,J21)</f>
        <v>204.32000000000002</v>
      </c>
    </row>
    <row r="33" spans="2:10" x14ac:dyDescent="0.35">
      <c r="B33" s="271">
        <v>1</v>
      </c>
      <c r="C33" s="283" t="s">
        <v>30</v>
      </c>
      <c r="D33" s="273">
        <v>6.4000000000000001E-2</v>
      </c>
      <c r="G33" s="305" t="s">
        <v>428</v>
      </c>
      <c r="H33" s="449">
        <f>H8</f>
        <v>0</v>
      </c>
      <c r="J33" s="449">
        <f>J8</f>
        <v>0</v>
      </c>
    </row>
    <row r="34" spans="2:10" x14ac:dyDescent="0.35">
      <c r="B34" s="271">
        <v>2</v>
      </c>
      <c r="C34" s="283" t="s">
        <v>33</v>
      </c>
      <c r="D34" s="273"/>
      <c r="G34" s="305" t="s">
        <v>34</v>
      </c>
      <c r="H34" s="449">
        <f>H10</f>
        <v>68.718869624318856</v>
      </c>
      <c r="J34" s="449">
        <f>J10</f>
        <v>59.699999999999996</v>
      </c>
    </row>
    <row r="35" spans="2:10" x14ac:dyDescent="0.35">
      <c r="B35" s="271">
        <v>3</v>
      </c>
      <c r="C35" s="283" t="s">
        <v>416</v>
      </c>
      <c r="D35" s="273">
        <v>0.03</v>
      </c>
    </row>
    <row r="36" spans="2:10" x14ac:dyDescent="0.35">
      <c r="B36" s="271">
        <v>4</v>
      </c>
      <c r="C36" s="283" t="s">
        <v>143</v>
      </c>
      <c r="D36" s="147">
        <v>0.14000000000000001</v>
      </c>
    </row>
    <row r="37" spans="2:10" x14ac:dyDescent="0.35">
      <c r="B37" s="271">
        <v>5</v>
      </c>
      <c r="C37" s="283" t="s">
        <v>144</v>
      </c>
      <c r="D37" s="273">
        <v>8.2000000000000003E-2</v>
      </c>
    </row>
    <row r="38" spans="2:10" x14ac:dyDescent="0.35">
      <c r="B38" s="271">
        <v>6</v>
      </c>
      <c r="C38" s="283" t="s">
        <v>35</v>
      </c>
      <c r="D38" s="272">
        <v>0.65</v>
      </c>
    </row>
    <row r="39" spans="2:10" x14ac:dyDescent="0.35">
      <c r="B39" s="271">
        <v>7</v>
      </c>
      <c r="C39" s="283" t="s">
        <v>38</v>
      </c>
      <c r="D39" s="272">
        <v>0.4</v>
      </c>
    </row>
    <row r="40" spans="2:10" x14ac:dyDescent="0.35">
      <c r="B40" s="280">
        <v>8</v>
      </c>
      <c r="C40" s="284" t="s">
        <v>145</v>
      </c>
      <c r="D40" s="148">
        <v>0.4</v>
      </c>
    </row>
    <row r="41" spans="2:10" ht="13.5" customHeight="1" x14ac:dyDescent="0.35">
      <c r="B41" s="263"/>
    </row>
    <row r="42" spans="2:10" ht="13.5" customHeight="1" x14ac:dyDescent="0.35">
      <c r="B42" s="263"/>
    </row>
    <row r="43" spans="2:10" ht="30.75" customHeight="1" x14ac:dyDescent="0.35">
      <c r="B43" s="495" t="s">
        <v>436</v>
      </c>
      <c r="C43" s="257" t="s">
        <v>437</v>
      </c>
    </row>
    <row r="44" spans="2:10" ht="31.5" customHeight="1" x14ac:dyDescent="0.35">
      <c r="B44" s="316"/>
      <c r="C44" s="270" t="s">
        <v>146</v>
      </c>
      <c r="D44" s="288" t="s">
        <v>147</v>
      </c>
      <c r="E44" s="270" t="s">
        <v>148</v>
      </c>
      <c r="F44" s="277" t="s">
        <v>142</v>
      </c>
      <c r="G44" s="330"/>
      <c r="H44" s="343"/>
    </row>
    <row r="45" spans="2:10" x14ac:dyDescent="0.35">
      <c r="B45" s="316"/>
      <c r="C45" s="333" t="s">
        <v>442</v>
      </c>
      <c r="D45" s="123">
        <f>1-D_T01!C50</f>
        <v>0.92999999999999994</v>
      </c>
      <c r="E45" s="139">
        <f>D_T01!C50</f>
        <v>7.0000000000000007E-2</v>
      </c>
      <c r="G45" s="320"/>
      <c r="H45" s="321"/>
    </row>
    <row r="46" spans="2:10" x14ac:dyDescent="0.35">
      <c r="B46" s="262">
        <v>1</v>
      </c>
      <c r="C46" s="237" t="str">
        <f>D_T01!B53</f>
        <v>Roof outside film R-Value</v>
      </c>
      <c r="D46" s="298">
        <f>D_T01!C53</f>
        <v>0.25</v>
      </c>
      <c r="E46" s="298">
        <f>D_T01!C53</f>
        <v>0.25</v>
      </c>
      <c r="G46" s="320"/>
      <c r="H46" s="321"/>
    </row>
    <row r="47" spans="2:10" x14ac:dyDescent="0.35">
      <c r="B47" s="262">
        <v>2</v>
      </c>
      <c r="C47" s="237" t="str">
        <f>D_T01!B54</f>
        <v>Roof Skin R-Value</v>
      </c>
      <c r="D47" s="298">
        <f>D_T01!C54</f>
        <v>1.25</v>
      </c>
      <c r="E47" s="298">
        <f>D_T01!C54</f>
        <v>1.25</v>
      </c>
      <c r="G47" s="320"/>
      <c r="H47" s="321"/>
    </row>
    <row r="48" spans="2:10" x14ac:dyDescent="0.35">
      <c r="B48" s="262">
        <v>3</v>
      </c>
      <c r="C48" s="237" t="str">
        <f>D_T01!B55</f>
        <v>Roof Inside Film Slope Down R-Value</v>
      </c>
      <c r="D48" s="298">
        <f>D_T01!C55</f>
        <v>0.76</v>
      </c>
      <c r="E48" s="298">
        <f>D_T01!C55</f>
        <v>0.76</v>
      </c>
      <c r="G48" s="320"/>
      <c r="H48" s="321"/>
    </row>
    <row r="49" spans="2:10" ht="15.75" customHeight="1" x14ac:dyDescent="0.35">
      <c r="B49" s="262">
        <v>4</v>
      </c>
      <c r="C49" s="237" t="str">
        <f>D_T01!B56</f>
        <v>Attic Air film</v>
      </c>
      <c r="D49" s="298">
        <f>D_T01!C56</f>
        <v>0.61</v>
      </c>
      <c r="E49" s="140">
        <f>D_T01!C56</f>
        <v>0.61</v>
      </c>
      <c r="F49" s="292"/>
      <c r="G49" s="320"/>
      <c r="H49" s="321"/>
    </row>
    <row r="50" spans="2:10" ht="15.75" customHeight="1" x14ac:dyDescent="0.35">
      <c r="B50" s="494">
        <v>5</v>
      </c>
      <c r="C50" s="493" t="str">
        <f>D_T01!B57</f>
        <v>Batt Insulation R38</v>
      </c>
      <c r="D50" s="490">
        <f>D_T01!C57</f>
        <v>38</v>
      </c>
      <c r="E50" s="491">
        <v>0</v>
      </c>
      <c r="F50" s="508" t="s">
        <v>435</v>
      </c>
      <c r="G50" s="509"/>
      <c r="H50" s="510"/>
    </row>
    <row r="51" spans="2:10" ht="15.75" customHeight="1" x14ac:dyDescent="0.35">
      <c r="B51" s="494">
        <v>6</v>
      </c>
      <c r="C51" s="493" t="str">
        <f>D_T01!B58</f>
        <v>Wood Stud 2 x 4: Nominal</v>
      </c>
      <c r="D51" s="490">
        <v>0</v>
      </c>
      <c r="E51" s="492">
        <f>D_T01!C58</f>
        <v>4.38</v>
      </c>
      <c r="F51" s="508"/>
      <c r="G51" s="509"/>
      <c r="H51" s="510"/>
    </row>
    <row r="52" spans="2:10" ht="15.75" customHeight="1" x14ac:dyDescent="0.35">
      <c r="B52" s="262"/>
      <c r="C52" s="237" t="s">
        <v>434</v>
      </c>
      <c r="D52" s="298">
        <f>1/($D45/($D50+$D51)+$E45/($E50+$E51))</f>
        <v>24.718567142899577</v>
      </c>
      <c r="E52" s="298">
        <f>1/($D45/($D50+$D51)+$E45/($E50+$E51))</f>
        <v>24.718567142899577</v>
      </c>
      <c r="F52" s="306"/>
      <c r="G52" s="320"/>
      <c r="H52" s="321"/>
    </row>
    <row r="53" spans="2:10" ht="15.75" customHeight="1" x14ac:dyDescent="0.35">
      <c r="B53" s="262">
        <v>7</v>
      </c>
      <c r="C53" s="237" t="str">
        <f>D_T01!B59</f>
        <v xml:space="preserve">0.5 Inch Drywall </v>
      </c>
      <c r="D53" s="298">
        <f>D_T01!C59</f>
        <v>0.45</v>
      </c>
      <c r="E53" s="140">
        <f>D_T01!C59</f>
        <v>0.45</v>
      </c>
      <c r="F53" s="306"/>
      <c r="G53" s="320"/>
      <c r="H53" s="321"/>
    </row>
    <row r="54" spans="2:10" ht="15.75" customHeight="1" x14ac:dyDescent="0.35">
      <c r="B54" s="262">
        <v>8</v>
      </c>
      <c r="C54" s="237" t="str">
        <f>D_T01!B60</f>
        <v>Indoor Air film</v>
      </c>
      <c r="D54" s="298">
        <f>D_T01!C60</f>
        <v>0.92</v>
      </c>
      <c r="E54" s="140">
        <f>D_T01!C60</f>
        <v>0.92</v>
      </c>
      <c r="F54" s="306"/>
      <c r="G54" s="320"/>
      <c r="H54" s="321"/>
    </row>
    <row r="55" spans="2:10" ht="15.75" customHeight="1" x14ac:dyDescent="0.35">
      <c r="B55" s="262"/>
      <c r="C55" s="319" t="s">
        <v>429</v>
      </c>
      <c r="D55" s="298">
        <f>SUM(D46:D49,D52,D53,D54)</f>
        <v>28.958567142899579</v>
      </c>
      <c r="E55" s="298">
        <f>SUM(E46:E49,E52,E53,E54)</f>
        <v>28.958567142899579</v>
      </c>
      <c r="F55" s="306"/>
      <c r="G55" s="320"/>
      <c r="H55" s="321"/>
    </row>
    <row r="56" spans="2:10" ht="15.75" customHeight="1" x14ac:dyDescent="0.35">
      <c r="B56" s="479"/>
      <c r="C56" s="480" t="s">
        <v>430</v>
      </c>
      <c r="D56" s="481">
        <f>IF(D55&gt;0, 1/D55, 0)</f>
        <v>3.4532095288602439E-2</v>
      </c>
      <c r="E56" s="482">
        <f>IF(E55&gt;0, 1/E55, 0)</f>
        <v>3.4532095288602439E-2</v>
      </c>
      <c r="F56" s="483"/>
      <c r="G56" s="484"/>
      <c r="H56" s="485"/>
    </row>
    <row r="57" spans="2:10" ht="18" customHeight="1" x14ac:dyDescent="0.35">
      <c r="B57" s="262"/>
      <c r="C57" s="327" t="s">
        <v>160</v>
      </c>
      <c r="D57" s="118">
        <f>IF(D56=E56,D56,0)</f>
        <v>3.4532095288602439E-2</v>
      </c>
      <c r="E57" s="321"/>
      <c r="F57" s="306" t="s">
        <v>81</v>
      </c>
      <c r="G57" s="320"/>
      <c r="H57" s="321"/>
      <c r="J57" s="305" t="s">
        <v>438</v>
      </c>
    </row>
    <row r="58" spans="2:10" ht="18" customHeight="1" x14ac:dyDescent="0.35">
      <c r="B58" s="275"/>
      <c r="C58" s="323" t="s">
        <v>161</v>
      </c>
      <c r="D58" s="489">
        <f>IF(D56&gt;0, 1/D57, 0)</f>
        <v>28.958567142899579</v>
      </c>
      <c r="E58" s="325"/>
      <c r="F58" s="322"/>
      <c r="G58" s="324"/>
      <c r="H58" s="325"/>
    </row>
    <row r="59" spans="2:10" x14ac:dyDescent="0.35">
      <c r="B59" s="261"/>
      <c r="F59" s="320"/>
      <c r="G59" s="320"/>
      <c r="H59" s="320"/>
    </row>
    <row r="60" spans="2:10" x14ac:dyDescent="0.35">
      <c r="B60" s="261"/>
      <c r="F60" s="320"/>
      <c r="G60" s="320"/>
      <c r="H60" s="320"/>
    </row>
    <row r="61" spans="2:10" x14ac:dyDescent="0.35">
      <c r="B61" s="261"/>
      <c r="F61" s="320"/>
      <c r="G61" s="320"/>
      <c r="H61" s="320"/>
    </row>
    <row r="62" spans="2:10" ht="33.75" customHeight="1" x14ac:dyDescent="0.35">
      <c r="B62" s="261" t="s">
        <v>36</v>
      </c>
      <c r="C62" s="257" t="s">
        <v>380</v>
      </c>
      <c r="F62" s="320"/>
      <c r="G62" s="320"/>
      <c r="H62" s="320"/>
    </row>
    <row r="63" spans="2:10" ht="29.25" customHeight="1" x14ac:dyDescent="0.35">
      <c r="B63" s="277"/>
      <c r="C63" s="269" t="s">
        <v>146</v>
      </c>
      <c r="D63" s="270" t="s">
        <v>212</v>
      </c>
      <c r="E63" s="268"/>
      <c r="F63" s="277" t="s">
        <v>142</v>
      </c>
      <c r="G63" s="330"/>
      <c r="H63" s="343"/>
    </row>
    <row r="64" spans="2:10" x14ac:dyDescent="0.35">
      <c r="B64" s="303">
        <v>1</v>
      </c>
      <c r="C64" s="227" t="str">
        <f>D_T01!B67</f>
        <v>Outside Air Film (7.5 mph wind, Summer)</v>
      </c>
      <c r="D64" s="117">
        <f>D_T01!C67</f>
        <v>0.25</v>
      </c>
      <c r="E64" s="304"/>
      <c r="G64" s="320"/>
      <c r="H64" s="321"/>
    </row>
    <row r="65" spans="2:8" x14ac:dyDescent="0.35">
      <c r="B65" s="262">
        <v>2</v>
      </c>
      <c r="C65" s="237" t="str">
        <f>D_T01!B68</f>
        <v>Stucco (0.8 Inch thick, conductivity=9.7 Btu-in/h-ft2-°F)</v>
      </c>
      <c r="D65" s="118">
        <f>D_T01!C68</f>
        <v>8.2474226804123724E-2</v>
      </c>
      <c r="E65" s="321"/>
      <c r="F65" s="306"/>
      <c r="G65" s="320"/>
      <c r="H65" s="321"/>
    </row>
    <row r="66" spans="2:8" x14ac:dyDescent="0.35">
      <c r="B66" s="262">
        <v>3</v>
      </c>
      <c r="C66" s="237" t="str">
        <f>D_T01!B69</f>
        <v>lathe</v>
      </c>
      <c r="D66" s="119">
        <f>D_T01!C69</f>
        <v>0</v>
      </c>
      <c r="E66" s="321"/>
      <c r="F66" s="306"/>
      <c r="G66" s="320"/>
      <c r="H66" s="321"/>
    </row>
    <row r="67" spans="2:8" x14ac:dyDescent="0.35">
      <c r="B67" s="262">
        <v>4</v>
      </c>
      <c r="C67" s="237" t="str">
        <f>D_T01!B70</f>
        <v>8 Inch Hollow Concrete Block (Normal Density)</v>
      </c>
      <c r="D67" s="298">
        <f>D_T01!C109</f>
        <v>1.0140947636940258</v>
      </c>
      <c r="E67" s="321"/>
      <c r="F67" s="306"/>
      <c r="G67" s="320"/>
      <c r="H67" s="321"/>
    </row>
    <row r="68" spans="2:8" x14ac:dyDescent="0.35">
      <c r="B68" s="262">
        <v>5</v>
      </c>
      <c r="C68" s="237" t="str">
        <f>D_T01!B71</f>
        <v>1 Inch R6 Insulation Board</v>
      </c>
      <c r="D68" s="119">
        <f>D_T01!C71</f>
        <v>6</v>
      </c>
      <c r="E68" s="321"/>
      <c r="F68" s="306"/>
      <c r="G68" s="320"/>
      <c r="H68" s="321"/>
    </row>
    <row r="69" spans="2:8" x14ac:dyDescent="0.35">
      <c r="B69" s="262">
        <v>6</v>
      </c>
      <c r="C69" s="237" t="str">
        <f>D_T01!B72</f>
        <v>0.75 Inch Air Space with Furring at 16" on center</v>
      </c>
      <c r="D69" s="120">
        <f>D_T01!C72</f>
        <v>1.22</v>
      </c>
      <c r="E69" s="321"/>
      <c r="F69" s="306"/>
      <c r="G69" s="320"/>
      <c r="H69" s="321"/>
    </row>
    <row r="70" spans="2:8" x14ac:dyDescent="0.35">
      <c r="B70" s="262">
        <v>7</v>
      </c>
      <c r="C70" s="237" t="str">
        <f>D_T01!B73</f>
        <v xml:space="preserve">0.5 Inch Drywall </v>
      </c>
      <c r="D70" s="120">
        <f>D_T01!C73</f>
        <v>0.45</v>
      </c>
      <c r="E70" s="321"/>
      <c r="F70" s="306"/>
      <c r="G70" s="320"/>
      <c r="H70" s="321"/>
    </row>
    <row r="71" spans="2:8" x14ac:dyDescent="0.35">
      <c r="B71" s="275">
        <v>8</v>
      </c>
      <c r="C71" s="238" t="str">
        <f>D_T01!B74</f>
        <v>Indoor Air Film</v>
      </c>
      <c r="D71" s="121">
        <f>D_T01!C74</f>
        <v>0.68</v>
      </c>
      <c r="E71" s="325"/>
      <c r="F71" s="306"/>
      <c r="G71" s="320"/>
      <c r="H71" s="321"/>
    </row>
    <row r="72" spans="2:8" ht="17.25" customHeight="1" x14ac:dyDescent="0.35">
      <c r="B72" s="262"/>
      <c r="C72" s="319" t="s">
        <v>161</v>
      </c>
      <c r="D72" s="298">
        <f>SUM(D64:D71)</f>
        <v>9.6965689904981485</v>
      </c>
      <c r="E72" s="321"/>
      <c r="F72" s="306" t="s">
        <v>118</v>
      </c>
      <c r="G72" s="320"/>
      <c r="H72" s="321"/>
    </row>
    <row r="73" spans="2:8" ht="20.25" customHeight="1" x14ac:dyDescent="0.35">
      <c r="B73" s="275"/>
      <c r="C73" s="323" t="s">
        <v>160</v>
      </c>
      <c r="D73" s="122">
        <f>1/D72</f>
        <v>0.10312926159551063</v>
      </c>
      <c r="E73" s="325"/>
      <c r="F73" s="322"/>
      <c r="G73" s="324"/>
      <c r="H73" s="325"/>
    </row>
    <row r="74" spans="2:8" ht="18" customHeight="1" x14ac:dyDescent="0.35">
      <c r="F74" s="320"/>
      <c r="G74" s="320"/>
      <c r="H74" s="320"/>
    </row>
    <row r="75" spans="2:8" ht="18" customHeight="1" x14ac:dyDescent="0.35">
      <c r="F75" s="320"/>
      <c r="G75" s="320"/>
      <c r="H75" s="320"/>
    </row>
    <row r="76" spans="2:8" ht="35.25" customHeight="1" x14ac:dyDescent="0.35">
      <c r="B76" s="305" t="s">
        <v>36</v>
      </c>
      <c r="C76" s="257" t="s">
        <v>239</v>
      </c>
      <c r="F76" s="320"/>
      <c r="G76" s="320"/>
      <c r="H76" s="320"/>
    </row>
    <row r="77" spans="2:8" ht="33" customHeight="1" x14ac:dyDescent="0.35">
      <c r="B77" s="277"/>
      <c r="C77" s="269" t="s">
        <v>146</v>
      </c>
      <c r="D77" s="288" t="s">
        <v>147</v>
      </c>
      <c r="E77" s="270" t="s">
        <v>148</v>
      </c>
      <c r="F77" s="277" t="s">
        <v>142</v>
      </c>
      <c r="G77" s="330"/>
      <c r="H77" s="343"/>
    </row>
    <row r="78" spans="2:8" x14ac:dyDescent="0.35">
      <c r="B78" s="316"/>
      <c r="C78" s="294" t="s">
        <v>150</v>
      </c>
      <c r="D78" s="132">
        <f>1-D_T01!C79</f>
        <v>0.75</v>
      </c>
      <c r="E78" s="123">
        <f>D_T01!C79</f>
        <v>0.25</v>
      </c>
      <c r="G78" s="320"/>
      <c r="H78" s="321"/>
    </row>
    <row r="79" spans="2:8" x14ac:dyDescent="0.35">
      <c r="B79" s="262">
        <v>1</v>
      </c>
      <c r="C79" s="237" t="str">
        <f>D_T01!B83</f>
        <v>Outside Air Film (7.5 mph wind, Summer)</v>
      </c>
      <c r="D79" s="338">
        <f>D_T01!C83</f>
        <v>0.25</v>
      </c>
      <c r="E79" s="120">
        <f>D_T01!C83</f>
        <v>0.25</v>
      </c>
      <c r="F79" s="306"/>
      <c r="G79" s="320"/>
      <c r="H79" s="321"/>
    </row>
    <row r="80" spans="2:8" x14ac:dyDescent="0.35">
      <c r="B80" s="262">
        <v>2</v>
      </c>
      <c r="C80" s="237" t="str">
        <f>D_T01!B84</f>
        <v>Stucco (0.8 Inch thick, conductivity=9.7 Btu-in/h-ft2-°F)</v>
      </c>
      <c r="D80" s="118">
        <f>D_T01!C84</f>
        <v>8.2474226804123724E-2</v>
      </c>
      <c r="E80" s="118">
        <f>D_T01!C84</f>
        <v>8.2474226804123724E-2</v>
      </c>
      <c r="F80" s="306"/>
      <c r="G80" s="320"/>
      <c r="H80" s="321"/>
    </row>
    <row r="81" spans="2:8" x14ac:dyDescent="0.35">
      <c r="B81" s="262">
        <v>3</v>
      </c>
      <c r="C81" s="237" t="str">
        <f>D_T01!B85</f>
        <v>0.5 Inch Plywood Exterior</v>
      </c>
      <c r="D81" s="135">
        <f>D_T01!C85</f>
        <v>0.79</v>
      </c>
      <c r="E81" s="298">
        <f>D_T01!C85</f>
        <v>0.79</v>
      </c>
      <c r="F81" s="306"/>
      <c r="G81" s="320"/>
      <c r="H81" s="321"/>
    </row>
    <row r="82" spans="2:8" x14ac:dyDescent="0.35">
      <c r="B82" s="262">
        <v>4</v>
      </c>
      <c r="C82" s="237" t="str">
        <f>D_T01!B86</f>
        <v>Wood Stud 2 x 4: Nominal</v>
      </c>
      <c r="D82" s="135">
        <v>0</v>
      </c>
      <c r="E82" s="298">
        <f>D_T01!C86</f>
        <v>4.38</v>
      </c>
      <c r="F82" s="306"/>
      <c r="G82" s="320"/>
      <c r="H82" s="321"/>
    </row>
    <row r="83" spans="2:8" x14ac:dyDescent="0.35">
      <c r="B83" s="262">
        <v>5</v>
      </c>
      <c r="C83" s="237" t="str">
        <f>D_T01!B87</f>
        <v>Fiber Glass Batt Insulation R13</v>
      </c>
      <c r="D83" s="135">
        <f>D_T01!C87</f>
        <v>13</v>
      </c>
      <c r="E83" s="119">
        <v>0</v>
      </c>
      <c r="F83" s="306"/>
      <c r="G83" s="320"/>
      <c r="H83" s="321"/>
    </row>
    <row r="84" spans="2:8" x14ac:dyDescent="0.35">
      <c r="B84" s="262">
        <v>6</v>
      </c>
      <c r="C84" s="237" t="str">
        <f>D_T01!B88</f>
        <v xml:space="preserve">0.5 Inch Drywall </v>
      </c>
      <c r="D84" s="338">
        <f>D_T01!C88</f>
        <v>0.45</v>
      </c>
      <c r="E84" s="120">
        <f>D_T01!C88</f>
        <v>0.45</v>
      </c>
      <c r="F84" s="306"/>
      <c r="G84" s="320"/>
      <c r="H84" s="321"/>
    </row>
    <row r="85" spans="2:8" x14ac:dyDescent="0.35">
      <c r="B85" s="262">
        <v>7</v>
      </c>
      <c r="C85" s="237" t="str">
        <f>D_T01!B89</f>
        <v>Indoor Air Film</v>
      </c>
      <c r="D85" s="338">
        <f>D_T01!C89</f>
        <v>0.68</v>
      </c>
      <c r="E85" s="120">
        <f>D_T01!C89</f>
        <v>0.68</v>
      </c>
      <c r="F85" s="306"/>
      <c r="G85" s="320"/>
      <c r="H85" s="321"/>
    </row>
    <row r="86" spans="2:8" x14ac:dyDescent="0.35">
      <c r="B86" s="262"/>
      <c r="C86" s="319" t="s">
        <v>169</v>
      </c>
      <c r="D86" s="135">
        <f>SUM(D79:D85)</f>
        <v>15.252474226804123</v>
      </c>
      <c r="E86" s="298">
        <f>SUM(E79:E85)</f>
        <v>6.6324742268041232</v>
      </c>
      <c r="F86" s="306"/>
      <c r="G86" s="320"/>
      <c r="H86" s="321"/>
    </row>
    <row r="87" spans="2:8" x14ac:dyDescent="0.35">
      <c r="B87" s="322"/>
      <c r="C87" s="323" t="s">
        <v>170</v>
      </c>
      <c r="D87" s="339">
        <f>1/D86</f>
        <v>6.5563133241860375E-2</v>
      </c>
      <c r="E87" s="118">
        <f>1/E86</f>
        <v>0.15077329602860032</v>
      </c>
      <c r="F87" s="306"/>
      <c r="G87" s="320"/>
      <c r="H87" s="321"/>
    </row>
    <row r="88" spans="2:8" ht="16.5" customHeight="1" x14ac:dyDescent="0.35">
      <c r="B88" s="306"/>
      <c r="C88" s="306" t="s">
        <v>160</v>
      </c>
      <c r="D88" s="340">
        <f>D87*D78+E87*E78</f>
        <v>8.6865673938545357E-2</v>
      </c>
      <c r="E88" s="334"/>
      <c r="F88" s="306" t="s">
        <v>83</v>
      </c>
      <c r="G88" s="320"/>
      <c r="H88" s="321"/>
    </row>
    <row r="89" spans="2:8" ht="16.5" customHeight="1" x14ac:dyDescent="0.35">
      <c r="B89" s="277"/>
      <c r="C89" s="277" t="s">
        <v>161</v>
      </c>
      <c r="D89" s="137">
        <f>1/D88</f>
        <v>11.512027187027496</v>
      </c>
      <c r="E89" s="334"/>
      <c r="F89" s="275"/>
      <c r="G89" s="324"/>
      <c r="H89" s="325"/>
    </row>
    <row r="92" spans="2:8" ht="19.5" customHeight="1" x14ac:dyDescent="0.35"/>
    <row r="108" ht="20.25" customHeight="1" x14ac:dyDescent="0.35"/>
  </sheetData>
  <sheetProtection algorithmName="SHA-512" hashValue="Pkpb9F+QJ0EwFFs5fiZbtvnDAUt+jmYgMINr3XE4RMSPeGUPLAEuqztX0t9fhD5tPEZ0uHWdhMy7pDo2MOBaGw==" saltValue="om+UtLUgnylszbNsnj0xzw==" spinCount="100000" sheet="1" objects="1" scenarios="1"/>
  <mergeCells count="14">
    <mergeCell ref="F50:H51"/>
    <mergeCell ref="O6:P6"/>
    <mergeCell ref="Q6:R6"/>
    <mergeCell ref="S6:T6"/>
    <mergeCell ref="K5:L5"/>
    <mergeCell ref="M5:N5"/>
    <mergeCell ref="O5:P5"/>
    <mergeCell ref="Q5:R5"/>
    <mergeCell ref="S5:T5"/>
    <mergeCell ref="D6:F6"/>
    <mergeCell ref="G6:H6"/>
    <mergeCell ref="I6:J6"/>
    <mergeCell ref="K6:L6"/>
    <mergeCell ref="M6:N6"/>
  </mergeCells>
  <dataValidations count="1">
    <dataValidation type="list" allowBlank="1" showInputMessage="1" showErrorMessage="1" sqref="F57 F72 F88">
      <formula1>UCalcMethod</formula1>
    </dataValidation>
  </dataValidations>
  <pageMargins left="0.7" right="0.7" top="0.75" bottom="0.75" header="0.3" footer="0.3"/>
  <pageSetup scale="34" fitToHeight="0" orientation="portrait" r:id="rId1"/>
  <rowBreaks count="1" manualBreakCount="1">
    <brk id="6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42"/>
  <sheetViews>
    <sheetView topLeftCell="B1" zoomScaleNormal="100" workbookViewId="0">
      <selection activeCell="E39" sqref="E39"/>
    </sheetView>
  </sheetViews>
  <sheetFormatPr defaultColWidth="9.1796875" defaultRowHeight="14.5" x14ac:dyDescent="0.35"/>
  <cols>
    <col min="1" max="1" width="4.453125" style="256" customWidth="1"/>
    <col min="2" max="2" width="46.7265625" style="256" customWidth="1"/>
    <col min="3" max="3" width="23.1796875" style="256" customWidth="1"/>
    <col min="4" max="4" width="20.26953125" style="256" customWidth="1"/>
    <col min="5" max="5" width="21" style="256" customWidth="1"/>
    <col min="6" max="6" width="20.1796875" style="256" customWidth="1"/>
    <col min="7" max="7" width="26.26953125" style="256" customWidth="1"/>
    <col min="8" max="8" width="26.26953125" style="256" hidden="1" customWidth="1"/>
    <col min="9" max="9" width="24.7265625" style="256" customWidth="1"/>
    <col min="10" max="16384" width="9.1796875" style="256"/>
  </cols>
  <sheetData>
    <row r="1" spans="1:8" ht="7.5" customHeight="1" x14ac:dyDescent="0.35">
      <c r="A1" s="13"/>
      <c r="B1" s="13"/>
      <c r="C1" s="13"/>
      <c r="D1" s="13"/>
      <c r="E1" s="13"/>
      <c r="F1" s="13"/>
      <c r="G1" s="13"/>
    </row>
    <row r="3" spans="1:8" ht="34.5" customHeight="1" x14ac:dyDescent="0.35">
      <c r="B3" s="258" t="s">
        <v>25</v>
      </c>
      <c r="C3" s="258" t="s">
        <v>27</v>
      </c>
      <c r="D3" s="507" t="str">
        <f>IF(Instructions!D2="","Enter Vendor's Software Name In Instruction Sheet",Instructions!D2)</f>
        <v xml:space="preserve">EnergyGauge USA </v>
      </c>
      <c r="E3" s="507"/>
    </row>
    <row r="4" spans="1:8" ht="15" customHeight="1" x14ac:dyDescent="0.35">
      <c r="B4" s="326" t="str">
        <f>D_T02!B2</f>
        <v xml:space="preserve">Prescriptive Test: House T02 (Pr-T02) Characteristics – Location: Tampa, Florida. </v>
      </c>
      <c r="C4" s="326"/>
      <c r="D4" s="326"/>
      <c r="E4" s="326"/>
    </row>
    <row r="5" spans="1:8" ht="15" customHeight="1" x14ac:dyDescent="0.35">
      <c r="B5" s="326" t="str">
        <f>D_T02!B3</f>
        <v>Single Family Detached Home with No Attached Garage, Single Story, Three bedroom.</v>
      </c>
      <c r="C5" s="326"/>
      <c r="D5" s="326"/>
      <c r="E5" s="326"/>
    </row>
    <row r="6" spans="1:8" x14ac:dyDescent="0.35">
      <c r="B6" s="4" t="s">
        <v>28</v>
      </c>
    </row>
    <row r="7" spans="1:8" x14ac:dyDescent="0.35">
      <c r="B7" s="1" t="s">
        <v>112</v>
      </c>
      <c r="C7" s="1"/>
      <c r="D7" s="8" t="s">
        <v>84</v>
      </c>
      <c r="E7" s="8"/>
    </row>
    <row r="8" spans="1:8" x14ac:dyDescent="0.35">
      <c r="B8" s="3" t="s">
        <v>113</v>
      </c>
      <c r="C8" s="3"/>
      <c r="D8" s="3"/>
    </row>
    <row r="9" spans="1:8" x14ac:dyDescent="0.35">
      <c r="B9" s="249" t="str">
        <f>D_T02!B4</f>
        <v>House Pr-T02</v>
      </c>
      <c r="C9" s="10" t="s">
        <v>242</v>
      </c>
      <c r="D9" s="116" t="s">
        <v>75</v>
      </c>
      <c r="E9" s="4"/>
    </row>
    <row r="10" spans="1:8" ht="15" thickBot="1" x14ac:dyDescent="0.4">
      <c r="C10" s="10" t="s">
        <v>86</v>
      </c>
      <c r="D10" s="10" t="s">
        <v>29</v>
      </c>
      <c r="E10" s="4"/>
    </row>
    <row r="11" spans="1:8" ht="15" thickBot="1" x14ac:dyDescent="0.4">
      <c r="B11" s="246" t="str">
        <f>D_T02!B8</f>
        <v>Slab-on-grade Floor</v>
      </c>
      <c r="C11" s="103" t="s">
        <v>93</v>
      </c>
      <c r="D11" s="105" t="str">
        <f>IF(C11="Complies","Pass","Fail")</f>
        <v>Pass</v>
      </c>
      <c r="E11" s="6"/>
      <c r="H11" s="9">
        <f t="shared" ref="H11:H23" si="0">IF(OR(D11="Not applicable",D11="Software Doesn't Check",D11="Pass"),0,1)</f>
        <v>0</v>
      </c>
    </row>
    <row r="12" spans="1:8" ht="15" thickBot="1" x14ac:dyDescent="0.4">
      <c r="B12" s="247" t="str">
        <f>D_T02!B9</f>
        <v>Roof – gable type- 5 in 12 slope No overhangs</v>
      </c>
      <c r="C12" s="103" t="s">
        <v>93</v>
      </c>
      <c r="D12" s="105" t="str">
        <f>IF(C12="Complies","Pass","Fail")</f>
        <v>Pass</v>
      </c>
      <c r="E12" s="6"/>
      <c r="H12" s="9">
        <f t="shared" si="0"/>
        <v>0</v>
      </c>
    </row>
    <row r="13" spans="1:8" ht="15" thickBot="1" x14ac:dyDescent="0.4">
      <c r="B13" s="247" t="str">
        <f>D_T02!B10</f>
        <v>Ceiling1 –flat under attic</v>
      </c>
      <c r="C13" s="103" t="s">
        <v>93</v>
      </c>
      <c r="D13" s="105" t="str">
        <f>IF(C13="Complies","Pass","Fail")</f>
        <v>Pass</v>
      </c>
      <c r="E13" s="6"/>
      <c r="H13" s="9">
        <f t="shared" si="0"/>
        <v>0</v>
      </c>
    </row>
    <row r="14" spans="1:8" ht="15" thickBot="1" x14ac:dyDescent="0.4">
      <c r="B14" s="247" t="str">
        <f>D_T02!B11</f>
        <v xml:space="preserve">        Skylight</v>
      </c>
      <c r="C14" s="103" t="s">
        <v>93</v>
      </c>
      <c r="D14" s="105" t="str">
        <f>IF(C14="Complies","Pass","Fail")</f>
        <v>Pass</v>
      </c>
      <c r="E14" s="6"/>
      <c r="H14" s="9">
        <f t="shared" si="0"/>
        <v>0</v>
      </c>
    </row>
    <row r="15" spans="1:8" ht="15" thickBot="1" x14ac:dyDescent="0.4">
      <c r="B15" s="247" t="str">
        <f>D_T02!B12</f>
        <v>Wall 1 –faces North, CBS2</v>
      </c>
      <c r="C15" s="103" t="s">
        <v>93</v>
      </c>
      <c r="D15" s="105" t="str">
        <f>IF(C15="Complies","Pass","Fail")</f>
        <v>Pass</v>
      </c>
      <c r="E15" s="6"/>
      <c r="H15" s="9">
        <f t="shared" si="0"/>
        <v>0</v>
      </c>
    </row>
    <row r="16" spans="1:8" ht="15" thickBot="1" x14ac:dyDescent="0.4">
      <c r="B16" s="247" t="str">
        <f>D_T02!B13</f>
        <v xml:space="preserve">        Door 1 </v>
      </c>
      <c r="C16" s="106" t="s">
        <v>63</v>
      </c>
      <c r="D16" s="105" t="s">
        <v>63</v>
      </c>
      <c r="E16" s="6"/>
      <c r="H16" s="9">
        <f t="shared" si="0"/>
        <v>0</v>
      </c>
    </row>
    <row r="17" spans="2:8" ht="15" thickBot="1" x14ac:dyDescent="0.4">
      <c r="B17" s="247" t="str">
        <f>D_T02!B14</f>
        <v xml:space="preserve">        Window 1 – Metal Frame Double Clear</v>
      </c>
      <c r="C17" s="106" t="s">
        <v>63</v>
      </c>
      <c r="D17" s="105" t="s">
        <v>63</v>
      </c>
      <c r="E17" s="6"/>
      <c r="H17" s="9">
        <f t="shared" si="0"/>
        <v>0</v>
      </c>
    </row>
    <row r="18" spans="2:8" ht="15" thickBot="1" x14ac:dyDescent="0.4">
      <c r="B18" s="247" t="str">
        <f>D_T02!B15</f>
        <v>Wall 2 –faces East, CBS</v>
      </c>
      <c r="C18" s="103" t="s">
        <v>93</v>
      </c>
      <c r="D18" s="105" t="str">
        <f>IF(C18="Complies","Pass","Fail")</f>
        <v>Pass</v>
      </c>
      <c r="E18" s="6"/>
      <c r="H18" s="9">
        <f t="shared" si="0"/>
        <v>0</v>
      </c>
    </row>
    <row r="19" spans="2:8" ht="15" thickBot="1" x14ac:dyDescent="0.4">
      <c r="B19" s="247" t="str">
        <f>D_T02!B16</f>
        <v xml:space="preserve">        Window 2 – Vinyl Frame Low-e Double</v>
      </c>
      <c r="C19" s="106" t="s">
        <v>63</v>
      </c>
      <c r="D19" s="105" t="s">
        <v>63</v>
      </c>
      <c r="E19" s="6"/>
      <c r="H19" s="9">
        <f t="shared" si="0"/>
        <v>0</v>
      </c>
    </row>
    <row r="20" spans="2:8" ht="15" thickBot="1" x14ac:dyDescent="0.4">
      <c r="B20" s="247" t="str">
        <f>D_T02!B17</f>
        <v>Wall 3 –faces South, CBS</v>
      </c>
      <c r="C20" s="103" t="s">
        <v>93</v>
      </c>
      <c r="D20" s="105" t="str">
        <f>IF(C20="Complies","Pass","Fail")</f>
        <v>Pass</v>
      </c>
      <c r="E20" s="6"/>
      <c r="H20" s="9">
        <f t="shared" si="0"/>
        <v>0</v>
      </c>
    </row>
    <row r="21" spans="2:8" ht="15" thickBot="1" x14ac:dyDescent="0.4">
      <c r="B21" s="247" t="str">
        <f>D_T02!B18</f>
        <v xml:space="preserve">        Window 3 – Metal Frame, Single Pane</v>
      </c>
      <c r="C21" s="106" t="s">
        <v>63</v>
      </c>
      <c r="D21" s="105" t="s">
        <v>63</v>
      </c>
      <c r="E21" s="6"/>
      <c r="H21" s="9">
        <f t="shared" si="0"/>
        <v>0</v>
      </c>
    </row>
    <row r="22" spans="2:8" ht="15" thickBot="1" x14ac:dyDescent="0.4">
      <c r="B22" s="247" t="str">
        <f>D_T02!B19</f>
        <v>Wall 4 –faces South, Wood3 2x4 Studs</v>
      </c>
      <c r="C22" s="103" t="s">
        <v>93</v>
      </c>
      <c r="D22" s="105" t="str">
        <f>IF(C22="Complies","Pass","Fail")</f>
        <v>Pass</v>
      </c>
      <c r="E22" s="6"/>
      <c r="H22" s="9">
        <f t="shared" si="0"/>
        <v>0</v>
      </c>
    </row>
    <row r="23" spans="2:8" ht="15" thickBot="1" x14ac:dyDescent="0.4">
      <c r="B23" s="247" t="str">
        <f>D_T02!B20</f>
        <v xml:space="preserve">        Window 4 – Vinyl Frame  Low-e Double</v>
      </c>
      <c r="C23" s="106" t="s">
        <v>63</v>
      </c>
      <c r="D23" s="105" t="s">
        <v>63</v>
      </c>
      <c r="E23" s="6"/>
      <c r="H23" s="9">
        <f t="shared" si="0"/>
        <v>0</v>
      </c>
    </row>
    <row r="24" spans="2:8" ht="15" thickBot="1" x14ac:dyDescent="0.4">
      <c r="B24" s="247" t="str">
        <f>D_T02!B21</f>
        <v>Wall 5 –faces West, CBS</v>
      </c>
      <c r="C24" s="103" t="s">
        <v>93</v>
      </c>
      <c r="D24" s="105" t="str">
        <f>IF(C24="Complies","Pass","Fail")</f>
        <v>Pass</v>
      </c>
      <c r="E24" s="6"/>
      <c r="H24" s="9">
        <f>IF(OR(D24="Not applicable",D24="Software Doesn't Check",D24="Pass"),0,1)</f>
        <v>0</v>
      </c>
    </row>
    <row r="25" spans="2:8" ht="15" thickBot="1" x14ac:dyDescent="0.4">
      <c r="B25" s="247" t="str">
        <f>D_T02!B22</f>
        <v xml:space="preserve">        Window 5 – Vinyl Frame Low-e Double</v>
      </c>
      <c r="C25" s="107" t="s">
        <v>63</v>
      </c>
      <c r="D25" s="105" t="s">
        <v>63</v>
      </c>
      <c r="E25" s="6"/>
      <c r="H25" s="9">
        <f t="shared" ref="H25:H46" si="1">IF(OR(D25="Not applicable",D25="Software Doesn't Check",D25="Pass"),0,1)</f>
        <v>0</v>
      </c>
    </row>
    <row r="26" spans="2:8" ht="15" thickBot="1" x14ac:dyDescent="0.4">
      <c r="B26" s="247" t="str">
        <f>D_T02!B23</f>
        <v>Infiltration</v>
      </c>
      <c r="C26" s="108" t="s">
        <v>93</v>
      </c>
      <c r="D26" s="105" t="str">
        <f>IF(C26="Complies","Pass",IF(C26="Not part of software","Software Doesn't Check","Fail"))</f>
        <v>Pass</v>
      </c>
      <c r="E26" s="6"/>
      <c r="H26" s="9">
        <f t="shared" si="1"/>
        <v>0</v>
      </c>
    </row>
    <row r="27" spans="2:8" ht="15" thickBot="1" x14ac:dyDescent="0.4">
      <c r="B27" s="247" t="str">
        <f>D_T02!B24</f>
        <v>Heating – heat pump</v>
      </c>
      <c r="C27" s="113" t="s">
        <v>93</v>
      </c>
      <c r="D27" s="105" t="str">
        <f>IF(C27="Complies","Pass",IF(C27="Not part of software","Software Doesn't Check","Fail"))</f>
        <v>Pass</v>
      </c>
      <c r="E27" s="6"/>
      <c r="H27" s="9">
        <f t="shared" si="1"/>
        <v>0</v>
      </c>
    </row>
    <row r="28" spans="2:8" ht="15" thickBot="1" x14ac:dyDescent="0.4">
      <c r="B28" s="247" t="str">
        <f>D_T02!B25</f>
        <v>Cooling – heat pump</v>
      </c>
      <c r="C28" s="103" t="s">
        <v>93</v>
      </c>
      <c r="D28" s="105" t="str">
        <f>IF(C28="Complies","Pass",IF(C28="Not part of software","Software Doesn't Check","Fail"))</f>
        <v>Pass</v>
      </c>
      <c r="E28" s="6"/>
      <c r="H28" s="9">
        <f t="shared" si="1"/>
        <v>0</v>
      </c>
    </row>
    <row r="29" spans="2:8" ht="15" thickBot="1" x14ac:dyDescent="0.4">
      <c r="B29" s="247" t="str">
        <f>D_T02!B26</f>
        <v>Ducts – supply in attic</v>
      </c>
      <c r="C29" s="103" t="s">
        <v>93</v>
      </c>
      <c r="D29" s="105" t="str">
        <f>IF(C29="Complies","Pass",IF(C29="Not part of software","Software Doesn't Check","Fail"))</f>
        <v>Pass</v>
      </c>
      <c r="E29" s="6"/>
      <c r="H29" s="9">
        <f t="shared" si="1"/>
        <v>0</v>
      </c>
    </row>
    <row r="30" spans="2:8" ht="15" thickBot="1" x14ac:dyDescent="0.4">
      <c r="B30" s="247" t="str">
        <f>D_T02!B27</f>
        <v>Ducts – Return in Conditioned Space</v>
      </c>
      <c r="C30" s="103" t="s">
        <v>93</v>
      </c>
      <c r="D30" s="105" t="str">
        <f t="shared" ref="D30:D38" si="2">IF(C30="Complies","Pass",IF(C30="Not part of software","Software Doesn't Check","Fail"))</f>
        <v>Pass</v>
      </c>
      <c r="E30" s="6"/>
      <c r="H30" s="9">
        <f t="shared" si="1"/>
        <v>0</v>
      </c>
    </row>
    <row r="31" spans="2:8" ht="15" thickBot="1" x14ac:dyDescent="0.4">
      <c r="B31" s="247" t="str">
        <f>D_T02!B28</f>
        <v>Duct Tightness</v>
      </c>
      <c r="C31" s="103" t="s">
        <v>93</v>
      </c>
      <c r="D31" s="105" t="str">
        <f t="shared" si="2"/>
        <v>Pass</v>
      </c>
      <c r="E31" s="6"/>
      <c r="H31" s="9">
        <f t="shared" si="1"/>
        <v>0</v>
      </c>
    </row>
    <row r="32" spans="2:8" ht="15" thickBot="1" x14ac:dyDescent="0.4">
      <c r="B32" s="247" t="str">
        <f>D_T02!B29</f>
        <v>Air Handler – in Conditioned Space</v>
      </c>
      <c r="C32" s="103" t="s">
        <v>93</v>
      </c>
      <c r="D32" s="105" t="str">
        <f t="shared" si="2"/>
        <v>Pass</v>
      </c>
      <c r="E32" s="6"/>
      <c r="H32" s="9">
        <f t="shared" si="1"/>
        <v>0</v>
      </c>
    </row>
    <row r="33" spans="1:8" ht="15" thickBot="1" x14ac:dyDescent="0.4">
      <c r="B33" s="247" t="str">
        <f>D_T02!B30</f>
        <v>Mechanical Ventilation</v>
      </c>
      <c r="C33" s="103" t="s">
        <v>93</v>
      </c>
      <c r="D33" s="105" t="str">
        <f t="shared" si="2"/>
        <v>Pass</v>
      </c>
      <c r="E33" s="6"/>
      <c r="H33" s="9">
        <f t="shared" si="1"/>
        <v>0</v>
      </c>
    </row>
    <row r="34" spans="1:8" ht="15" thickBot="1" x14ac:dyDescent="0.4">
      <c r="B34" s="247" t="str">
        <f>D_T02!B31</f>
        <v>Hot Water System - electric</v>
      </c>
      <c r="C34" s="103" t="s">
        <v>93</v>
      </c>
      <c r="D34" s="105" t="str">
        <f t="shared" si="2"/>
        <v>Pass</v>
      </c>
      <c r="E34" s="6"/>
      <c r="H34" s="9">
        <f t="shared" si="1"/>
        <v>0</v>
      </c>
    </row>
    <row r="35" spans="1:8" ht="15" thickBot="1" x14ac:dyDescent="0.4">
      <c r="B35" s="247" t="str">
        <f>D_T02!B32</f>
        <v>All Hot Water Lines</v>
      </c>
      <c r="C35" s="103" t="s">
        <v>56</v>
      </c>
      <c r="D35" s="105" t="str">
        <f t="shared" si="2"/>
        <v>Software Doesn't Check</v>
      </c>
      <c r="E35" s="6"/>
      <c r="H35" s="9">
        <f t="shared" si="1"/>
        <v>0</v>
      </c>
    </row>
    <row r="36" spans="1:8" ht="15" thickBot="1" x14ac:dyDescent="0.4">
      <c r="B36" s="247" t="str">
        <f>D_T02!B33</f>
        <v>Hot Water Circulation -none</v>
      </c>
      <c r="C36" s="103" t="s">
        <v>56</v>
      </c>
      <c r="D36" s="105" t="str">
        <f t="shared" si="2"/>
        <v>Software Doesn't Check</v>
      </c>
      <c r="E36" s="6"/>
      <c r="H36" s="9">
        <f t="shared" si="1"/>
        <v>0</v>
      </c>
    </row>
    <row r="37" spans="1:8" ht="15" thickBot="1" x14ac:dyDescent="0.4">
      <c r="B37" s="247" t="str">
        <f>D_T02!B34</f>
        <v>Lighting</v>
      </c>
      <c r="C37" s="103" t="s">
        <v>93</v>
      </c>
      <c r="D37" s="105" t="str">
        <f t="shared" si="2"/>
        <v>Pass</v>
      </c>
      <c r="E37" s="6"/>
      <c r="H37" s="9">
        <f t="shared" si="1"/>
        <v>0</v>
      </c>
    </row>
    <row r="38" spans="1:8" ht="15" thickBot="1" x14ac:dyDescent="0.4">
      <c r="B38" s="247" t="str">
        <f>D_T02!B35</f>
        <v>Pool and Spa - none</v>
      </c>
      <c r="C38" s="103" t="s">
        <v>56</v>
      </c>
      <c r="D38" s="105" t="str">
        <f t="shared" si="2"/>
        <v>Software Doesn't Check</v>
      </c>
      <c r="E38" s="6"/>
      <c r="H38" s="9">
        <f t="shared" si="1"/>
        <v>0</v>
      </c>
    </row>
    <row r="39" spans="1:8" ht="15" thickBot="1" x14ac:dyDescent="0.4">
      <c r="B39" s="248" t="str">
        <f>D_T02!B38</f>
        <v>Area Weighted Fenestration U-Factor Value</v>
      </c>
      <c r="C39" s="104">
        <v>0.38700000000000001</v>
      </c>
      <c r="D39" s="105" t="str">
        <f>IF(C39&gt;UA_T02!M27,IF(C39&lt;=UA_T02!M28,"Pass","Fail"),"Fail")</f>
        <v>Pass</v>
      </c>
      <c r="E39" s="300"/>
      <c r="H39" s="9">
        <f t="shared" si="1"/>
        <v>0</v>
      </c>
    </row>
    <row r="40" spans="1:8" ht="15" thickBot="1" x14ac:dyDescent="0.4">
      <c r="B40" s="248" t="str">
        <f>D_T02!B39</f>
        <v>Area Weighted Fenestration SHGC Value</v>
      </c>
      <c r="C40" s="103">
        <v>0.25</v>
      </c>
      <c r="D40" s="105" t="str">
        <f>IF(C40&gt;UA_T02!Q27,IF(C40&lt;=UA_T02!Q28,"Pass","Fail"),"Fail")</f>
        <v>Pass</v>
      </c>
      <c r="E40" s="300"/>
      <c r="H40" s="9">
        <f t="shared" si="1"/>
        <v>0</v>
      </c>
    </row>
    <row r="41" spans="1:8" ht="15" thickBot="1" x14ac:dyDescent="0.4">
      <c r="B41" s="248" t="str">
        <f>D_T02!B40</f>
        <v>Total Thermal Envelope UA Value</v>
      </c>
      <c r="C41" s="110" t="s">
        <v>63</v>
      </c>
      <c r="D41" s="105" t="str">
        <f>IF(C41="Complies","Not applicable",IF(C41="Not applicable","Not applicable","Fail"))</f>
        <v>Not applicable</v>
      </c>
      <c r="E41" s="300"/>
      <c r="H41" s="9">
        <f t="shared" si="1"/>
        <v>0</v>
      </c>
    </row>
    <row r="42" spans="1:8" ht="15" thickBot="1" x14ac:dyDescent="0.4">
      <c r="B42" s="248" t="str">
        <f>D_T02!B41</f>
        <v>Area Weighted Fenestration U-Factor Result</v>
      </c>
      <c r="C42" s="103" t="s">
        <v>93</v>
      </c>
      <c r="D42" s="105" t="str">
        <f>IF(C42="Complies","Pass","Fail")</f>
        <v>Pass</v>
      </c>
      <c r="E42" s="6"/>
      <c r="H42" s="9">
        <f t="shared" si="1"/>
        <v>0</v>
      </c>
    </row>
    <row r="43" spans="1:8" ht="15" thickBot="1" x14ac:dyDescent="0.4">
      <c r="B43" s="248" t="str">
        <f>D_T02!B42</f>
        <v>Area Weighted Fenestration SHGC Result</v>
      </c>
      <c r="C43" s="103" t="s">
        <v>93</v>
      </c>
      <c r="D43" s="105" t="str">
        <f>IF(C43="Complies","Pass","Fail")</f>
        <v>Pass</v>
      </c>
      <c r="E43" s="6"/>
      <c r="H43" s="9">
        <f t="shared" si="1"/>
        <v>0</v>
      </c>
    </row>
    <row r="44" spans="1:8" ht="15" thickBot="1" x14ac:dyDescent="0.4">
      <c r="B44" s="248" t="str">
        <f>D_T02!B43</f>
        <v>Baseline Thermal Envelope UA Value</v>
      </c>
      <c r="C44" s="111" t="s">
        <v>63</v>
      </c>
      <c r="D44" s="105" t="str">
        <f>IF(C44="Complies","Not applicable",IF(C44="Not applicable","Not applicable","Fail"))</f>
        <v>Not applicable</v>
      </c>
      <c r="E44" s="6"/>
      <c r="H44" s="9">
        <f t="shared" si="1"/>
        <v>0</v>
      </c>
    </row>
    <row r="45" spans="1:8" ht="15" thickBot="1" x14ac:dyDescent="0.4">
      <c r="B45" s="248" t="str">
        <f>D_T02!B44</f>
        <v>Total Thermal Envelope UA Result</v>
      </c>
      <c r="C45" s="111" t="s">
        <v>63</v>
      </c>
      <c r="D45" s="105" t="str">
        <f>IF(C45="Complies","Not applicable",IF(C45="Not applicable","Not applicable","Fail"))</f>
        <v>Not applicable</v>
      </c>
      <c r="H45" s="9">
        <f t="shared" si="1"/>
        <v>0</v>
      </c>
    </row>
    <row r="46" spans="1:8" ht="15" thickBot="1" x14ac:dyDescent="0.4">
      <c r="B46" s="248" t="str">
        <f>D_T02!B45</f>
        <v>House Complies?</v>
      </c>
      <c r="C46" s="103" t="s">
        <v>119</v>
      </c>
      <c r="D46" s="105" t="str">
        <f>IF(C46="Yes","Pass","Fail")</f>
        <v>Pass</v>
      </c>
      <c r="H46" s="9">
        <f t="shared" si="1"/>
        <v>0</v>
      </c>
    </row>
    <row r="47" spans="1:8" ht="21.65" customHeight="1" x14ac:dyDescent="0.6">
      <c r="B47" s="19"/>
      <c r="C47" s="15" t="s">
        <v>94</v>
      </c>
      <c r="D47" s="16" t="str">
        <f>IF(H47&gt;0,"FAIL","PASS")</f>
        <v>PASS</v>
      </c>
      <c r="H47" s="256">
        <f xml:space="preserve"> SUM(H11:H46)</f>
        <v>0</v>
      </c>
    </row>
    <row r="48" spans="1:8" ht="7.9" customHeight="1" x14ac:dyDescent="0.35">
      <c r="A48" s="13"/>
      <c r="B48" s="20"/>
      <c r="C48" s="17"/>
      <c r="D48" s="18"/>
      <c r="E48" s="13"/>
      <c r="F48" s="13"/>
      <c r="G48" s="13"/>
    </row>
    <row r="49" spans="1:8" x14ac:dyDescent="0.35">
      <c r="B49" s="19"/>
      <c r="C49" s="12"/>
      <c r="D49" s="11"/>
    </row>
    <row r="50" spans="1:8" ht="7.9" hidden="1" customHeight="1" x14ac:dyDescent="0.35">
      <c r="A50" s="2"/>
      <c r="B50" s="21"/>
      <c r="C50" s="2"/>
      <c r="D50" s="2"/>
      <c r="E50" s="2"/>
      <c r="F50" s="2"/>
      <c r="G50" s="2"/>
    </row>
    <row r="51" spans="1:8" hidden="1" x14ac:dyDescent="0.35">
      <c r="B51" s="19"/>
    </row>
    <row r="52" spans="1:8" ht="33" hidden="1" customHeight="1" x14ac:dyDescent="0.35">
      <c r="B52" s="114" t="s">
        <v>25</v>
      </c>
      <c r="C52" s="305" t="s">
        <v>27</v>
      </c>
      <c r="D52" s="507" t="str">
        <f>IF(Instructions!D2="","Enter Vendor's Software Name In Instruction Sheet",Instructions!D2)</f>
        <v xml:space="preserve">EnergyGauge USA </v>
      </c>
      <c r="E52" s="507"/>
    </row>
    <row r="53" spans="1:8" hidden="1" x14ac:dyDescent="0.35">
      <c r="B53" s="22" t="s">
        <v>76</v>
      </c>
    </row>
    <row r="54" spans="1:8" hidden="1" x14ac:dyDescent="0.35">
      <c r="B54" s="30" t="s">
        <v>112</v>
      </c>
      <c r="C54" s="1"/>
      <c r="D54" s="8" t="s">
        <v>84</v>
      </c>
      <c r="E54" s="8"/>
    </row>
    <row r="55" spans="1:8" hidden="1" x14ac:dyDescent="0.35">
      <c r="B55" s="31" t="s">
        <v>113</v>
      </c>
      <c r="C55" s="3"/>
      <c r="D55" s="3"/>
    </row>
    <row r="56" spans="1:8" hidden="1" x14ac:dyDescent="0.35">
      <c r="B56" s="250" t="str">
        <f>D_T02!B4</f>
        <v>House Pr-T02</v>
      </c>
      <c r="C56" s="10" t="s">
        <v>77</v>
      </c>
      <c r="D56" s="4"/>
      <c r="E56" s="10" t="s">
        <v>243</v>
      </c>
      <c r="F56" s="116" t="s">
        <v>88</v>
      </c>
    </row>
    <row r="57" spans="1:8" ht="15" hidden="1" thickBot="1" x14ac:dyDescent="0.4">
      <c r="B57" s="19"/>
      <c r="C57" s="10" t="s">
        <v>87</v>
      </c>
      <c r="D57" s="10" t="s">
        <v>77</v>
      </c>
      <c r="E57" s="10" t="s">
        <v>86</v>
      </c>
      <c r="F57" s="10" t="s">
        <v>89</v>
      </c>
    </row>
    <row r="58" spans="1:8" ht="15" hidden="1" thickBot="1" x14ac:dyDescent="0.4">
      <c r="B58" s="246" t="str">
        <f>D_T02!B8</f>
        <v>Slab-on-grade Floor</v>
      </c>
      <c r="C58" s="106"/>
      <c r="D58" s="106"/>
      <c r="E58" s="103"/>
      <c r="F58" s="105" t="str">
        <f>IF(E58="Complies","Pass","Fail")</f>
        <v>Fail</v>
      </c>
      <c r="H58" s="9">
        <f>IF(OR(F58="Not applicable",F58="Software Doesn't Check",F58="Pass"),0,1)</f>
        <v>1</v>
      </c>
    </row>
    <row r="59" spans="1:8" ht="15" hidden="1" customHeight="1" thickBot="1" x14ac:dyDescent="0.4">
      <c r="B59" s="247" t="str">
        <f>D_T02!B9</f>
        <v>Roof – gable type- 5 in 12 slope No overhangs</v>
      </c>
      <c r="C59" s="106"/>
      <c r="D59" s="106"/>
      <c r="E59" s="103"/>
      <c r="F59" s="105" t="str">
        <f>IF(E59="Complies","Pass","Fail")</f>
        <v>Fail</v>
      </c>
      <c r="H59" s="9">
        <f t="shared" ref="H59:H93" si="3">IF(OR(F59="Not applicable",F59="Software Doesn't Check",F59="Pass"),0,1)</f>
        <v>1</v>
      </c>
    </row>
    <row r="60" spans="1:8" ht="15" hidden="1" customHeight="1" thickBot="1" x14ac:dyDescent="0.4">
      <c r="B60" s="247" t="str">
        <f>D_T02!B10</f>
        <v>Ceiling1 –flat under attic</v>
      </c>
      <c r="C60" s="103"/>
      <c r="D60" s="103"/>
      <c r="E60" s="103"/>
      <c r="F60" s="105" t="str">
        <f>IF(E60="Complies","Pass","Fail")</f>
        <v>Fail</v>
      </c>
      <c r="H60" s="9">
        <f t="shared" si="3"/>
        <v>1</v>
      </c>
    </row>
    <row r="61" spans="1:8" ht="15" hidden="1" customHeight="1" thickBot="1" x14ac:dyDescent="0.4">
      <c r="B61" s="247" t="str">
        <f>D_T02!B11</f>
        <v xml:space="preserve">        Skylight</v>
      </c>
      <c r="C61" s="106"/>
      <c r="D61" s="216">
        <f>D_T02!E11</f>
        <v>0.65</v>
      </c>
      <c r="E61" s="103"/>
      <c r="F61" s="105" t="str">
        <f>IF(E61="Complies","Pass","Fail")</f>
        <v>Fail</v>
      </c>
      <c r="H61" s="9">
        <f t="shared" si="3"/>
        <v>1</v>
      </c>
    </row>
    <row r="62" spans="1:8" ht="15" hidden="1" customHeight="1" thickBot="1" x14ac:dyDescent="0.4">
      <c r="B62" s="247" t="str">
        <f>D_T02!B12</f>
        <v>Wall 1 –faces North, CBS2</v>
      </c>
      <c r="C62" s="103"/>
      <c r="D62" s="103"/>
      <c r="E62" s="103"/>
      <c r="F62" s="105" t="str">
        <f>IF(E62="Complies","Pass","Fail")</f>
        <v>Fail</v>
      </c>
      <c r="H62" s="9">
        <f t="shared" si="3"/>
        <v>1</v>
      </c>
    </row>
    <row r="63" spans="1:8" ht="15" hidden="1" customHeight="1" thickBot="1" x14ac:dyDescent="0.4">
      <c r="B63" s="247" t="str">
        <f>D_T02!B13</f>
        <v xml:space="preserve">        Door 1 </v>
      </c>
      <c r="C63" s="106"/>
      <c r="D63" s="405">
        <f>D_T02!E13</f>
        <v>0.8</v>
      </c>
      <c r="E63" s="110" t="s">
        <v>63</v>
      </c>
      <c r="F63" s="105" t="s">
        <v>63</v>
      </c>
      <c r="H63" s="9">
        <f t="shared" si="3"/>
        <v>0</v>
      </c>
    </row>
    <row r="64" spans="1:8" ht="15" hidden="1" customHeight="1" thickBot="1" x14ac:dyDescent="0.4">
      <c r="B64" s="247" t="str">
        <f>D_T02!B14</f>
        <v xml:space="preserve">        Window 1 – Metal Frame Double Clear</v>
      </c>
      <c r="C64" s="106"/>
      <c r="D64" s="405">
        <f>D_T02!E14</f>
        <v>0.68</v>
      </c>
      <c r="E64" s="110" t="s">
        <v>63</v>
      </c>
      <c r="F64" s="105" t="s">
        <v>63</v>
      </c>
      <c r="H64" s="9">
        <f t="shared" si="3"/>
        <v>0</v>
      </c>
    </row>
    <row r="65" spans="2:8" ht="15" hidden="1" customHeight="1" thickBot="1" x14ac:dyDescent="0.4">
      <c r="B65" s="247" t="str">
        <f>D_T02!B15</f>
        <v>Wall 2 –faces East, CBS</v>
      </c>
      <c r="C65" s="103"/>
      <c r="D65" s="103"/>
      <c r="E65" s="103"/>
      <c r="F65" s="105" t="str">
        <f>IF(E65="Complies","Pass","Fail")</f>
        <v>Fail</v>
      </c>
      <c r="H65" s="9">
        <f t="shared" si="3"/>
        <v>1</v>
      </c>
    </row>
    <row r="66" spans="2:8" ht="15" hidden="1" customHeight="1" thickBot="1" x14ac:dyDescent="0.4">
      <c r="B66" s="247" t="str">
        <f>D_T02!B16</f>
        <v xml:space="preserve">        Window 2 – Vinyl Frame Low-e Double</v>
      </c>
      <c r="C66" s="106"/>
      <c r="D66" s="405">
        <f>D_T02!E16</f>
        <v>0.27</v>
      </c>
      <c r="E66" s="110" t="s">
        <v>63</v>
      </c>
      <c r="F66" s="105" t="s">
        <v>63</v>
      </c>
      <c r="H66" s="9">
        <f t="shared" si="3"/>
        <v>0</v>
      </c>
    </row>
    <row r="67" spans="2:8" ht="15" hidden="1" customHeight="1" thickBot="1" x14ac:dyDescent="0.4">
      <c r="B67" s="247" t="str">
        <f>D_T02!B17</f>
        <v>Wall 3 –faces South, CBS</v>
      </c>
      <c r="C67" s="103"/>
      <c r="D67" s="103"/>
      <c r="E67" s="103"/>
      <c r="F67" s="105" t="str">
        <f>IF(E67="Complies","Pass","Fail")</f>
        <v>Fail</v>
      </c>
      <c r="H67" s="9">
        <f t="shared" si="3"/>
        <v>1</v>
      </c>
    </row>
    <row r="68" spans="2:8" ht="15" hidden="1" customHeight="1" thickBot="1" x14ac:dyDescent="0.4">
      <c r="B68" s="247" t="str">
        <f>D_T02!B18</f>
        <v xml:space="preserve">        Window 3 – Metal Frame, Single Pane</v>
      </c>
      <c r="C68" s="106"/>
      <c r="D68" s="405">
        <f>D_T02!E18</f>
        <v>1.2</v>
      </c>
      <c r="E68" s="110" t="s">
        <v>63</v>
      </c>
      <c r="F68" s="105" t="s">
        <v>63</v>
      </c>
      <c r="H68" s="9">
        <f t="shared" si="3"/>
        <v>0</v>
      </c>
    </row>
    <row r="69" spans="2:8" ht="15" hidden="1" customHeight="1" thickBot="1" x14ac:dyDescent="0.4">
      <c r="B69" s="247" t="str">
        <f>D_T02!B19</f>
        <v>Wall 4 –faces South, Wood3 2x4 Studs</v>
      </c>
      <c r="C69" s="103"/>
      <c r="D69" s="103"/>
      <c r="E69" s="103"/>
      <c r="F69" s="105" t="str">
        <f>IF(E69="U-Factor too high","Pass","Fail")</f>
        <v>Fail</v>
      </c>
      <c r="H69" s="9">
        <f t="shared" si="3"/>
        <v>1</v>
      </c>
    </row>
    <row r="70" spans="2:8" ht="15" hidden="1" customHeight="1" thickBot="1" x14ac:dyDescent="0.4">
      <c r="B70" s="247" t="str">
        <f>D_T02!B20</f>
        <v xml:space="preserve">        Window 4 – Vinyl Frame  Low-e Double</v>
      </c>
      <c r="C70" s="106"/>
      <c r="D70" s="405">
        <f>D_T02!E20</f>
        <v>0.27</v>
      </c>
      <c r="E70" s="110" t="s">
        <v>63</v>
      </c>
      <c r="F70" s="105" t="s">
        <v>63</v>
      </c>
      <c r="H70" s="9">
        <f t="shared" si="3"/>
        <v>0</v>
      </c>
    </row>
    <row r="71" spans="2:8" ht="15" hidden="1" customHeight="1" thickBot="1" x14ac:dyDescent="0.4">
      <c r="B71" s="247" t="str">
        <f>D_T02!B21</f>
        <v>Wall 5 –faces West, CBS</v>
      </c>
      <c r="C71" s="103"/>
      <c r="D71" s="103"/>
      <c r="E71" s="103"/>
      <c r="F71" s="105" t="str">
        <f>IF(E71="Complies","Pass","Fail")</f>
        <v>Fail</v>
      </c>
      <c r="H71" s="9">
        <f t="shared" si="3"/>
        <v>1</v>
      </c>
    </row>
    <row r="72" spans="2:8" ht="15" hidden="1" customHeight="1" thickBot="1" x14ac:dyDescent="0.4">
      <c r="B72" s="247" t="str">
        <f>D_T02!B22</f>
        <v xml:space="preserve">        Window 5 – Vinyl Frame Low-e Double</v>
      </c>
      <c r="C72" s="106"/>
      <c r="D72" s="405">
        <f>D_T02!E22</f>
        <v>0.27</v>
      </c>
      <c r="E72" s="110" t="s">
        <v>63</v>
      </c>
      <c r="F72" s="105" t="s">
        <v>63</v>
      </c>
      <c r="H72" s="9">
        <f t="shared" si="3"/>
        <v>0</v>
      </c>
    </row>
    <row r="73" spans="2:8" ht="15" hidden="1" customHeight="1" thickBot="1" x14ac:dyDescent="0.4">
      <c r="B73" s="247" t="str">
        <f>D_T02!B23</f>
        <v>Infiltration</v>
      </c>
      <c r="C73" s="106"/>
      <c r="D73" s="106"/>
      <c r="E73" s="112"/>
      <c r="F73" s="105" t="str">
        <f>IF(E73="Complies","Pass",IF(E73="Not part of software","Software Doesn't Check","Fail"))</f>
        <v>Fail</v>
      </c>
      <c r="H73" s="9">
        <f t="shared" si="3"/>
        <v>1</v>
      </c>
    </row>
    <row r="74" spans="2:8" ht="15" hidden="1" customHeight="1" thickBot="1" x14ac:dyDescent="0.4">
      <c r="B74" s="247" t="str">
        <f>D_T02!B24</f>
        <v>Heating – heat pump</v>
      </c>
      <c r="C74" s="106"/>
      <c r="D74" s="106"/>
      <c r="E74" s="113"/>
      <c r="F74" s="105" t="str">
        <f>IF(E74="Complies","Pass",IF(E74="Not part of software","Software Doesn't Check","Fail"))</f>
        <v>Fail</v>
      </c>
      <c r="H74" s="9">
        <f t="shared" si="3"/>
        <v>1</v>
      </c>
    </row>
    <row r="75" spans="2:8" ht="15" hidden="1" customHeight="1" thickBot="1" x14ac:dyDescent="0.4">
      <c r="B75" s="247" t="str">
        <f>D_T02!B25</f>
        <v>Cooling – heat pump</v>
      </c>
      <c r="C75" s="106"/>
      <c r="D75" s="106"/>
      <c r="E75" s="112"/>
      <c r="F75" s="105" t="str">
        <f>IF(E75="Complies","Pass",IF(E75="Not part of software","Software Doesn't Check","Fail"))</f>
        <v>Fail</v>
      </c>
      <c r="H75" s="9">
        <f t="shared" si="3"/>
        <v>1</v>
      </c>
    </row>
    <row r="76" spans="2:8" ht="15" hidden="1" customHeight="1" thickBot="1" x14ac:dyDescent="0.4">
      <c r="B76" s="247" t="str">
        <f>D_T02!B26</f>
        <v>Ducts – supply in attic</v>
      </c>
      <c r="C76" s="106"/>
      <c r="D76" s="106"/>
      <c r="E76" s="112"/>
      <c r="F76" s="105" t="str">
        <f>IF(E76="Complies","Pass",IF(E76="Not part of software","Software Doesn't Check","Fail"))</f>
        <v>Fail</v>
      </c>
      <c r="H76" s="9">
        <f t="shared" si="3"/>
        <v>1</v>
      </c>
    </row>
    <row r="77" spans="2:8" ht="15" hidden="1" customHeight="1" thickBot="1" x14ac:dyDescent="0.4">
      <c r="B77" s="247" t="str">
        <f>D_T02!B27</f>
        <v>Ducts – Return in Conditioned Space</v>
      </c>
      <c r="C77" s="106"/>
      <c r="D77" s="106"/>
      <c r="E77" s="112"/>
      <c r="F77" s="105" t="str">
        <f t="shared" ref="F77:F85" si="4">IF(E77="Complies","Pass",IF(E77="Not part of software","Software Doesn't Check","Fail"))</f>
        <v>Fail</v>
      </c>
      <c r="H77" s="9">
        <f t="shared" si="3"/>
        <v>1</v>
      </c>
    </row>
    <row r="78" spans="2:8" ht="15" hidden="1" customHeight="1" thickBot="1" x14ac:dyDescent="0.4">
      <c r="B78" s="247" t="str">
        <f>D_T02!B28</f>
        <v>Duct Tightness</v>
      </c>
      <c r="C78" s="106"/>
      <c r="D78" s="106"/>
      <c r="E78" s="112"/>
      <c r="F78" s="105" t="str">
        <f t="shared" si="4"/>
        <v>Fail</v>
      </c>
      <c r="H78" s="9">
        <f t="shared" si="3"/>
        <v>1</v>
      </c>
    </row>
    <row r="79" spans="2:8" ht="15" hidden="1" customHeight="1" thickBot="1" x14ac:dyDescent="0.4">
      <c r="B79" s="247" t="str">
        <f>D_T02!B29</f>
        <v>Air Handler – in Conditioned Space</v>
      </c>
      <c r="C79" s="106"/>
      <c r="D79" s="106"/>
      <c r="E79" s="112"/>
      <c r="F79" s="105" t="str">
        <f t="shared" si="4"/>
        <v>Fail</v>
      </c>
      <c r="H79" s="9">
        <f t="shared" si="3"/>
        <v>1</v>
      </c>
    </row>
    <row r="80" spans="2:8" ht="15" hidden="1" customHeight="1" thickBot="1" x14ac:dyDescent="0.4">
      <c r="B80" s="247" t="str">
        <f>D_T02!B30</f>
        <v>Mechanical Ventilation</v>
      </c>
      <c r="C80" s="106"/>
      <c r="D80" s="106"/>
      <c r="E80" s="103"/>
      <c r="F80" s="105" t="str">
        <f t="shared" si="4"/>
        <v>Fail</v>
      </c>
      <c r="H80" s="9">
        <f t="shared" si="3"/>
        <v>1</v>
      </c>
    </row>
    <row r="81" spans="1:8" ht="15" hidden="1" customHeight="1" thickBot="1" x14ac:dyDescent="0.4">
      <c r="B81" s="247" t="str">
        <f>D_T02!B31</f>
        <v>Hot Water System - electric</v>
      </c>
      <c r="C81" s="106"/>
      <c r="D81" s="106"/>
      <c r="E81" s="112"/>
      <c r="F81" s="105" t="str">
        <f t="shared" si="4"/>
        <v>Fail</v>
      </c>
      <c r="H81" s="9">
        <f t="shared" si="3"/>
        <v>1</v>
      </c>
    </row>
    <row r="82" spans="1:8" ht="15" hidden="1" customHeight="1" thickBot="1" x14ac:dyDescent="0.4">
      <c r="B82" s="247" t="str">
        <f>D_T02!B32</f>
        <v>All Hot Water Lines</v>
      </c>
      <c r="C82" s="106"/>
      <c r="D82" s="106"/>
      <c r="E82" s="112"/>
      <c r="F82" s="105" t="str">
        <f t="shared" si="4"/>
        <v>Fail</v>
      </c>
      <c r="H82" s="9">
        <f t="shared" si="3"/>
        <v>1</v>
      </c>
    </row>
    <row r="83" spans="1:8" ht="15" hidden="1" customHeight="1" thickBot="1" x14ac:dyDescent="0.4">
      <c r="B83" s="247" t="str">
        <f>D_T02!B33</f>
        <v>Hot Water Circulation -none</v>
      </c>
      <c r="C83" s="106"/>
      <c r="D83" s="106"/>
      <c r="E83" s="112"/>
      <c r="F83" s="105" t="str">
        <f t="shared" si="4"/>
        <v>Fail</v>
      </c>
      <c r="H83" s="9">
        <f t="shared" si="3"/>
        <v>1</v>
      </c>
    </row>
    <row r="84" spans="1:8" ht="15" hidden="1" customHeight="1" thickBot="1" x14ac:dyDescent="0.4">
      <c r="B84" s="247" t="str">
        <f>D_T02!B34</f>
        <v>Lighting</v>
      </c>
      <c r="C84" s="106"/>
      <c r="D84" s="106"/>
      <c r="E84" s="112"/>
      <c r="F84" s="105" t="str">
        <f t="shared" si="4"/>
        <v>Fail</v>
      </c>
      <c r="H84" s="9">
        <f t="shared" si="3"/>
        <v>1</v>
      </c>
    </row>
    <row r="85" spans="1:8" ht="15" hidden="1" customHeight="1" thickBot="1" x14ac:dyDescent="0.4">
      <c r="B85" s="247" t="str">
        <f>D_T02!B35</f>
        <v>Pool and Spa - none</v>
      </c>
      <c r="C85" s="106"/>
      <c r="D85" s="106"/>
      <c r="E85" s="112"/>
      <c r="F85" s="105" t="str">
        <f t="shared" si="4"/>
        <v>Fail</v>
      </c>
      <c r="H85" s="9">
        <f t="shared" si="3"/>
        <v>1</v>
      </c>
    </row>
    <row r="86" spans="1:8" ht="15" hidden="1" customHeight="1" thickBot="1" x14ac:dyDescent="0.4">
      <c r="B86" s="248" t="str">
        <f>D_T02!B38</f>
        <v>Area Weighted Fenestration U-Factor Value</v>
      </c>
      <c r="C86" s="106"/>
      <c r="D86" s="106"/>
      <c r="E86" s="104"/>
      <c r="F86" s="105" t="str">
        <f>IF(E86&gt;UA_T02!O27,IF(E86&lt;=UA_T02!O28,"Pass","Fail"),"Fail")</f>
        <v>Fail</v>
      </c>
      <c r="H86" s="9">
        <f t="shared" si="3"/>
        <v>1</v>
      </c>
    </row>
    <row r="87" spans="1:8" ht="15" hidden="1" customHeight="1" thickBot="1" x14ac:dyDescent="0.4">
      <c r="B87" s="248" t="str">
        <f>D_T02!B39</f>
        <v>Area Weighted Fenestration SHGC Value</v>
      </c>
      <c r="C87" s="106"/>
      <c r="D87" s="106"/>
      <c r="E87" s="103"/>
      <c r="F87" s="105" t="str">
        <f>IF(E87&gt;UA_T02!S27,IF(E87&lt;=UA_T02!S28,"Pass","Fail"),"Fail")</f>
        <v>Fail</v>
      </c>
      <c r="H87" s="9">
        <f t="shared" si="3"/>
        <v>1</v>
      </c>
    </row>
    <row r="88" spans="1:8" ht="15" hidden="1" customHeight="1" thickBot="1" x14ac:dyDescent="0.4">
      <c r="B88" s="248" t="str">
        <f>D_T02!B40</f>
        <v>Total Thermal Envelope UA Value</v>
      </c>
      <c r="C88" s="106"/>
      <c r="D88" s="106"/>
      <c r="E88" s="110" t="s">
        <v>63</v>
      </c>
      <c r="F88" s="105" t="s">
        <v>63</v>
      </c>
      <c r="H88" s="9">
        <f t="shared" si="3"/>
        <v>0</v>
      </c>
    </row>
    <row r="89" spans="1:8" ht="15" hidden="1" customHeight="1" thickBot="1" x14ac:dyDescent="0.4">
      <c r="B89" s="248" t="str">
        <f>D_T02!B41</f>
        <v>Area Weighted Fenestration U-Factor Result</v>
      </c>
      <c r="C89" s="106"/>
      <c r="D89" s="110"/>
      <c r="E89" s="103"/>
      <c r="F89" s="464" t="str">
        <f>IF(E89="Average U too high","Pass","Fail")</f>
        <v>Fail</v>
      </c>
      <c r="H89" s="9">
        <f t="shared" si="3"/>
        <v>1</v>
      </c>
    </row>
    <row r="90" spans="1:8" ht="15" hidden="1" customHeight="1" thickBot="1" x14ac:dyDescent="0.4">
      <c r="B90" s="248" t="str">
        <f>D_T02!B42</f>
        <v>Area Weighted Fenestration SHGC Result</v>
      </c>
      <c r="C90" s="106"/>
      <c r="D90" s="110"/>
      <c r="E90" s="103"/>
      <c r="F90" s="464" t="str">
        <f>IF(E90="Average SHGC too high","Pass","Fail")</f>
        <v>Fail</v>
      </c>
      <c r="H90" s="9">
        <f t="shared" si="3"/>
        <v>1</v>
      </c>
    </row>
    <row r="91" spans="1:8" ht="15" hidden="1" customHeight="1" thickBot="1" x14ac:dyDescent="0.4">
      <c r="B91" s="248" t="str">
        <f>D_T02!B43</f>
        <v>Baseline Thermal Envelope UA Value</v>
      </c>
      <c r="C91" s="106"/>
      <c r="D91" s="110"/>
      <c r="E91" s="110" t="s">
        <v>63</v>
      </c>
      <c r="F91" s="105" t="s">
        <v>63</v>
      </c>
      <c r="H91" s="9">
        <f t="shared" si="3"/>
        <v>0</v>
      </c>
    </row>
    <row r="92" spans="1:8" ht="15" hidden="1" customHeight="1" thickBot="1" x14ac:dyDescent="0.4">
      <c r="B92" s="248" t="str">
        <f>D_T02!B44</f>
        <v>Total Thermal Envelope UA Result</v>
      </c>
      <c r="C92" s="106"/>
      <c r="D92" s="110"/>
      <c r="E92" s="110" t="s">
        <v>63</v>
      </c>
      <c r="F92" s="105" t="s">
        <v>63</v>
      </c>
      <c r="H92" s="9">
        <f t="shared" si="3"/>
        <v>0</v>
      </c>
    </row>
    <row r="93" spans="1:8" ht="15" hidden="1" customHeight="1" thickBot="1" x14ac:dyDescent="0.4">
      <c r="B93" s="248" t="str">
        <f>D_T02!B45</f>
        <v>House Complies?</v>
      </c>
      <c r="C93" s="106"/>
      <c r="D93" s="110"/>
      <c r="E93" s="103"/>
      <c r="F93" s="105" t="str">
        <f>IF(E93="No","Pass","Fail")</f>
        <v>Fail</v>
      </c>
      <c r="H93" s="9">
        <f t="shared" si="3"/>
        <v>1</v>
      </c>
    </row>
    <row r="94" spans="1:8" ht="21" hidden="1" customHeight="1" x14ac:dyDescent="0.6">
      <c r="B94" s="19"/>
      <c r="E94" s="24" t="s">
        <v>85</v>
      </c>
      <c r="F94" s="16" t="str">
        <f>IF(H94&gt;0,"FAIL","PASS")</f>
        <v>FAIL</v>
      </c>
      <c r="H94" s="256">
        <f xml:space="preserve"> SUM(H58:H93)</f>
        <v>27</v>
      </c>
    </row>
    <row r="95" spans="1:8" ht="7.9" hidden="1" customHeight="1" x14ac:dyDescent="0.35">
      <c r="A95" s="2"/>
      <c r="B95" s="21"/>
      <c r="C95" s="2"/>
      <c r="D95" s="2"/>
      <c r="E95" s="25"/>
      <c r="F95" s="2"/>
    </row>
    <row r="96" spans="1:8" hidden="1" x14ac:dyDescent="0.35">
      <c r="B96" s="19"/>
      <c r="E96" s="26"/>
    </row>
    <row r="97" spans="1:8" ht="7.9" customHeight="1" x14ac:dyDescent="0.35">
      <c r="A97" s="14"/>
      <c r="B97" s="23"/>
      <c r="C97" s="14"/>
      <c r="D97" s="14"/>
      <c r="E97" s="27"/>
      <c r="F97" s="14"/>
    </row>
    <row r="98" spans="1:8" x14ac:dyDescent="0.35">
      <c r="B98" s="19"/>
      <c r="E98" s="26"/>
    </row>
    <row r="99" spans="1:8" ht="32.25" customHeight="1" x14ac:dyDescent="0.35">
      <c r="B99" s="115" t="s">
        <v>25</v>
      </c>
      <c r="C99" s="258" t="s">
        <v>27</v>
      </c>
      <c r="D99" s="507" t="str">
        <f>IF(Instructions!D2="","Enter Vendor's Software Name In Instruction Sheet",Instructions!D2)</f>
        <v xml:space="preserve">EnergyGauge USA </v>
      </c>
      <c r="E99" s="507"/>
    </row>
    <row r="100" spans="1:8" x14ac:dyDescent="0.35">
      <c r="B100" s="22" t="s">
        <v>79</v>
      </c>
      <c r="E100" s="26"/>
    </row>
    <row r="101" spans="1:8" x14ac:dyDescent="0.35">
      <c r="B101" s="30" t="s">
        <v>112</v>
      </c>
      <c r="C101" s="1"/>
      <c r="D101" s="8" t="s">
        <v>84</v>
      </c>
      <c r="E101" s="28"/>
    </row>
    <row r="102" spans="1:8" x14ac:dyDescent="0.35">
      <c r="B102" s="31" t="s">
        <v>113</v>
      </c>
      <c r="C102" s="3"/>
      <c r="D102" s="3"/>
      <c r="E102" s="26"/>
    </row>
    <row r="103" spans="1:8" x14ac:dyDescent="0.35">
      <c r="B103" s="250" t="str">
        <f>D_T02!B4</f>
        <v>House Pr-T02</v>
      </c>
      <c r="C103" s="10" t="s">
        <v>77</v>
      </c>
      <c r="D103" s="10"/>
      <c r="E103" s="29" t="s">
        <v>243</v>
      </c>
      <c r="F103" s="116" t="s">
        <v>88</v>
      </c>
    </row>
    <row r="104" spans="1:8" ht="15" thickBot="1" x14ac:dyDescent="0.4">
      <c r="B104" s="19"/>
      <c r="C104" s="10" t="s">
        <v>87</v>
      </c>
      <c r="D104" s="10" t="s">
        <v>77</v>
      </c>
      <c r="E104" s="29" t="s">
        <v>86</v>
      </c>
      <c r="F104" s="116" t="s">
        <v>90</v>
      </c>
    </row>
    <row r="105" spans="1:8" ht="15" thickBot="1" x14ac:dyDescent="0.4">
      <c r="B105" s="246" t="str">
        <f>D_T02!B8</f>
        <v>Slab-on-grade Floor</v>
      </c>
      <c r="C105" s="106"/>
      <c r="D105" s="106"/>
      <c r="E105" s="110" t="s">
        <v>63</v>
      </c>
      <c r="F105" s="464" t="s">
        <v>63</v>
      </c>
      <c r="H105" s="9">
        <f t="shared" ref="H105:H140" si="5">IF(OR(F105="Not applicable",F105="Software Doesn't Check",F105="Pass"),0,1)</f>
        <v>0</v>
      </c>
    </row>
    <row r="106" spans="1:8" ht="15" thickBot="1" x14ac:dyDescent="0.4">
      <c r="B106" s="247" t="str">
        <f>D_T02!B9</f>
        <v>Roof – gable type- 5 in 12 slope No overhangs</v>
      </c>
      <c r="C106" s="106"/>
      <c r="D106" s="106"/>
      <c r="E106" s="110" t="s">
        <v>63</v>
      </c>
      <c r="F106" s="464" t="s">
        <v>63</v>
      </c>
      <c r="H106" s="9">
        <f t="shared" si="5"/>
        <v>0</v>
      </c>
    </row>
    <row r="107" spans="1:8" ht="15" thickBot="1" x14ac:dyDescent="0.4">
      <c r="B107" s="247" t="str">
        <f>D_T02!B10</f>
        <v>Ceiling1 –flat under attic</v>
      </c>
      <c r="C107" s="103" t="s">
        <v>118</v>
      </c>
      <c r="D107" s="103">
        <v>3.5000000000000003E-2</v>
      </c>
      <c r="E107" s="110" t="s">
        <v>63</v>
      </c>
      <c r="F107" s="464" t="s">
        <v>63</v>
      </c>
      <c r="H107" s="9">
        <f t="shared" si="5"/>
        <v>0</v>
      </c>
    </row>
    <row r="108" spans="1:8" ht="15" thickBot="1" x14ac:dyDescent="0.4">
      <c r="B108" s="247" t="str">
        <f>D_T02!B11</f>
        <v xml:space="preserve">        Skylight</v>
      </c>
      <c r="C108" s="110"/>
      <c r="D108" s="217">
        <f>D_T02!E11</f>
        <v>0.65</v>
      </c>
      <c r="E108" s="103" t="s">
        <v>93</v>
      </c>
      <c r="F108" s="464" t="str">
        <f>IF(E108="Complies","Pass","Fail")</f>
        <v>Pass</v>
      </c>
      <c r="H108" s="9">
        <f t="shared" si="5"/>
        <v>0</v>
      </c>
    </row>
    <row r="109" spans="1:8" ht="15" thickBot="1" x14ac:dyDescent="0.4">
      <c r="B109" s="247" t="str">
        <f>D_T02!B12</f>
        <v>Wall 1 –faces North, CBS2</v>
      </c>
      <c r="C109" s="103" t="s">
        <v>81</v>
      </c>
      <c r="D109" s="103">
        <v>0.10199999999999999</v>
      </c>
      <c r="E109" s="110" t="s">
        <v>63</v>
      </c>
      <c r="F109" s="464" t="s">
        <v>63</v>
      </c>
      <c r="H109" s="9">
        <f t="shared" si="5"/>
        <v>0</v>
      </c>
    </row>
    <row r="110" spans="1:8" ht="15" thickBot="1" x14ac:dyDescent="0.4">
      <c r="B110" s="247" t="str">
        <f>D_T02!B13</f>
        <v xml:space="preserve">        Door 1 </v>
      </c>
      <c r="C110" s="110"/>
      <c r="D110" s="406">
        <f>D_T02!E13</f>
        <v>0.8</v>
      </c>
      <c r="E110" s="110" t="s">
        <v>63</v>
      </c>
      <c r="F110" s="464" t="s">
        <v>63</v>
      </c>
      <c r="H110" s="9">
        <f t="shared" si="5"/>
        <v>0</v>
      </c>
    </row>
    <row r="111" spans="1:8" ht="15" thickBot="1" x14ac:dyDescent="0.4">
      <c r="B111" s="247" t="str">
        <f>D_T02!B14</f>
        <v xml:space="preserve">        Window 1 – Metal Frame Double Clear</v>
      </c>
      <c r="C111" s="110"/>
      <c r="D111" s="406">
        <f>D_T02!E14</f>
        <v>0.68</v>
      </c>
      <c r="E111" s="110" t="s">
        <v>63</v>
      </c>
      <c r="F111" s="464" t="s">
        <v>63</v>
      </c>
      <c r="H111" s="9">
        <f t="shared" si="5"/>
        <v>0</v>
      </c>
    </row>
    <row r="112" spans="1:8" ht="15" thickBot="1" x14ac:dyDescent="0.4">
      <c r="B112" s="247" t="str">
        <f>D_T02!B15</f>
        <v>Wall 2 –faces East, CBS</v>
      </c>
      <c r="C112" s="103" t="s">
        <v>81</v>
      </c>
      <c r="D112" s="103">
        <v>0.10199999999999999</v>
      </c>
      <c r="E112" s="110" t="s">
        <v>63</v>
      </c>
      <c r="F112" s="464" t="s">
        <v>63</v>
      </c>
      <c r="H112" s="9">
        <f t="shared" si="5"/>
        <v>0</v>
      </c>
    </row>
    <row r="113" spans="2:8" ht="15" thickBot="1" x14ac:dyDescent="0.4">
      <c r="B113" s="247" t="str">
        <f>D_T02!B16</f>
        <v xml:space="preserve">        Window 2 – Vinyl Frame Low-e Double</v>
      </c>
      <c r="C113" s="110"/>
      <c r="D113" s="406">
        <f>D_T02!E16</f>
        <v>0.27</v>
      </c>
      <c r="E113" s="110" t="s">
        <v>63</v>
      </c>
      <c r="F113" s="464" t="s">
        <v>63</v>
      </c>
      <c r="H113" s="9">
        <f t="shared" si="5"/>
        <v>0</v>
      </c>
    </row>
    <row r="114" spans="2:8" ht="15" thickBot="1" x14ac:dyDescent="0.4">
      <c r="B114" s="247" t="str">
        <f>D_T02!B17</f>
        <v>Wall 3 –faces South, CBS</v>
      </c>
      <c r="C114" s="103" t="s">
        <v>81</v>
      </c>
      <c r="D114" s="103">
        <v>0.10199999999999999</v>
      </c>
      <c r="E114" s="110" t="s">
        <v>63</v>
      </c>
      <c r="F114" s="464" t="s">
        <v>63</v>
      </c>
      <c r="H114" s="9">
        <f t="shared" si="5"/>
        <v>0</v>
      </c>
    </row>
    <row r="115" spans="2:8" ht="15" thickBot="1" x14ac:dyDescent="0.4">
      <c r="B115" s="247" t="str">
        <f>D_T02!B18</f>
        <v xml:space="preserve">        Window 3 – Metal Frame, Single Pane</v>
      </c>
      <c r="C115" s="110"/>
      <c r="D115" s="406">
        <f>D_T02!E18</f>
        <v>1.2</v>
      </c>
      <c r="E115" s="110" t="s">
        <v>63</v>
      </c>
      <c r="F115" s="464" t="s">
        <v>63</v>
      </c>
      <c r="H115" s="9">
        <f t="shared" si="5"/>
        <v>0</v>
      </c>
    </row>
    <row r="116" spans="2:8" ht="15" thickBot="1" x14ac:dyDescent="0.4">
      <c r="B116" s="247" t="str">
        <f>D_T02!B19</f>
        <v>Wall 4 –faces South, Wood3 2x4 Studs</v>
      </c>
      <c r="C116" s="103" t="s">
        <v>83</v>
      </c>
      <c r="D116" s="103">
        <v>8.5999999999999993E-2</v>
      </c>
      <c r="E116" s="110" t="s">
        <v>63</v>
      </c>
      <c r="F116" s="464" t="s">
        <v>63</v>
      </c>
      <c r="H116" s="9">
        <f t="shared" si="5"/>
        <v>0</v>
      </c>
    </row>
    <row r="117" spans="2:8" ht="15" thickBot="1" x14ac:dyDescent="0.4">
      <c r="B117" s="247" t="str">
        <f>D_T02!B20</f>
        <v xml:space="preserve">        Window 4 – Vinyl Frame  Low-e Double</v>
      </c>
      <c r="C117" s="110"/>
      <c r="D117" s="406">
        <f>D_T02!E20</f>
        <v>0.27</v>
      </c>
      <c r="E117" s="110" t="s">
        <v>63</v>
      </c>
      <c r="F117" s="464" t="s">
        <v>63</v>
      </c>
      <c r="H117" s="9">
        <f t="shared" si="5"/>
        <v>0</v>
      </c>
    </row>
    <row r="118" spans="2:8" ht="15" thickBot="1" x14ac:dyDescent="0.4">
      <c r="B118" s="247" t="str">
        <f>D_T02!B21</f>
        <v>Wall 5 –faces West, CBS</v>
      </c>
      <c r="C118" s="103" t="s">
        <v>81</v>
      </c>
      <c r="D118" s="103">
        <v>0.10199999999999999</v>
      </c>
      <c r="E118" s="110" t="s">
        <v>63</v>
      </c>
      <c r="F118" s="464" t="s">
        <v>63</v>
      </c>
      <c r="H118" s="9">
        <f t="shared" si="5"/>
        <v>0</v>
      </c>
    </row>
    <row r="119" spans="2:8" ht="15" thickBot="1" x14ac:dyDescent="0.4">
      <c r="B119" s="247" t="str">
        <f>D_T02!B22</f>
        <v xml:space="preserve">        Window 5 – Vinyl Frame Low-e Double</v>
      </c>
      <c r="C119" s="106"/>
      <c r="D119" s="405">
        <f>D_T02!E22</f>
        <v>0.27</v>
      </c>
      <c r="E119" s="110" t="s">
        <v>63</v>
      </c>
      <c r="F119" s="464" t="s">
        <v>63</v>
      </c>
      <c r="H119" s="9">
        <f t="shared" si="5"/>
        <v>0</v>
      </c>
    </row>
    <row r="120" spans="2:8" ht="15" thickBot="1" x14ac:dyDescent="0.4">
      <c r="B120" s="247" t="str">
        <f>D_T02!B23</f>
        <v>Infiltration</v>
      </c>
      <c r="C120" s="106"/>
      <c r="D120" s="106"/>
      <c r="E120" s="112" t="s">
        <v>93</v>
      </c>
      <c r="F120" s="105" t="str">
        <f>IF(E120="Complies","Pass",IF(E120="Not part of software","Software Doesn't Check","Fail"))</f>
        <v>Pass</v>
      </c>
      <c r="H120" s="9">
        <f t="shared" si="5"/>
        <v>0</v>
      </c>
    </row>
    <row r="121" spans="2:8" ht="15" thickBot="1" x14ac:dyDescent="0.4">
      <c r="B121" s="247" t="str">
        <f>D_T02!B24</f>
        <v>Heating – heat pump</v>
      </c>
      <c r="C121" s="106"/>
      <c r="D121" s="106"/>
      <c r="E121" s="113" t="s">
        <v>93</v>
      </c>
      <c r="F121" s="105" t="str">
        <f>IF(E121="Complies","Pass",IF(E121="Not part of software","Software Doesn't Check","Fail"))</f>
        <v>Pass</v>
      </c>
      <c r="H121" s="9">
        <f t="shared" si="5"/>
        <v>0</v>
      </c>
    </row>
    <row r="122" spans="2:8" ht="15" thickBot="1" x14ac:dyDescent="0.4">
      <c r="B122" s="247" t="str">
        <f>D_T02!B25</f>
        <v>Cooling – heat pump</v>
      </c>
      <c r="C122" s="106"/>
      <c r="D122" s="106"/>
      <c r="E122" s="112" t="s">
        <v>93</v>
      </c>
      <c r="F122" s="105" t="str">
        <f>IF(E122="Complies","Pass",IF(E122="Not part of software","Software Doesn't Check","Fail"))</f>
        <v>Pass</v>
      </c>
      <c r="H122" s="9">
        <f t="shared" si="5"/>
        <v>0</v>
      </c>
    </row>
    <row r="123" spans="2:8" ht="15" thickBot="1" x14ac:dyDescent="0.4">
      <c r="B123" s="247" t="str">
        <f>D_T02!B26</f>
        <v>Ducts – supply in attic</v>
      </c>
      <c r="C123" s="106"/>
      <c r="D123" s="106"/>
      <c r="E123" s="112" t="s">
        <v>93</v>
      </c>
      <c r="F123" s="105" t="str">
        <f>IF(E123="Complies","Pass",IF(E123="Not part of software","Software Doesn't Check","Fail"))</f>
        <v>Pass</v>
      </c>
      <c r="H123" s="9">
        <f t="shared" si="5"/>
        <v>0</v>
      </c>
    </row>
    <row r="124" spans="2:8" ht="15" thickBot="1" x14ac:dyDescent="0.4">
      <c r="B124" s="247" t="str">
        <f>D_T02!B27</f>
        <v>Ducts – Return in Conditioned Space</v>
      </c>
      <c r="C124" s="106"/>
      <c r="D124" s="106"/>
      <c r="E124" s="112" t="s">
        <v>93</v>
      </c>
      <c r="F124" s="105" t="str">
        <f t="shared" ref="F124:F132" si="6">IF(E124="Complies","Pass",IF(E124="Not part of software","Software Doesn't Check","Fail"))</f>
        <v>Pass</v>
      </c>
      <c r="H124" s="9">
        <f t="shared" si="5"/>
        <v>0</v>
      </c>
    </row>
    <row r="125" spans="2:8" ht="15" thickBot="1" x14ac:dyDescent="0.4">
      <c r="B125" s="247" t="str">
        <f>D_T02!B28</f>
        <v>Duct Tightness</v>
      </c>
      <c r="C125" s="106"/>
      <c r="D125" s="106"/>
      <c r="E125" s="112" t="s">
        <v>93</v>
      </c>
      <c r="F125" s="105" t="str">
        <f t="shared" si="6"/>
        <v>Pass</v>
      </c>
      <c r="H125" s="9">
        <f t="shared" si="5"/>
        <v>0</v>
      </c>
    </row>
    <row r="126" spans="2:8" ht="15" thickBot="1" x14ac:dyDescent="0.4">
      <c r="B126" s="247" t="str">
        <f>D_T02!B29</f>
        <v>Air Handler – in Conditioned Space</v>
      </c>
      <c r="C126" s="106"/>
      <c r="D126" s="106"/>
      <c r="E126" s="112" t="s">
        <v>93</v>
      </c>
      <c r="F126" s="105" t="str">
        <f t="shared" si="6"/>
        <v>Pass</v>
      </c>
      <c r="H126" s="9">
        <f t="shared" si="5"/>
        <v>0</v>
      </c>
    </row>
    <row r="127" spans="2:8" ht="15" thickBot="1" x14ac:dyDescent="0.4">
      <c r="B127" s="247" t="str">
        <f>D_T02!B30</f>
        <v>Mechanical Ventilation</v>
      </c>
      <c r="C127" s="106"/>
      <c r="D127" s="106"/>
      <c r="E127" s="103" t="s">
        <v>93</v>
      </c>
      <c r="F127" s="105" t="str">
        <f t="shared" si="6"/>
        <v>Pass</v>
      </c>
      <c r="H127" s="9">
        <f t="shared" si="5"/>
        <v>0</v>
      </c>
    </row>
    <row r="128" spans="2:8" ht="15" thickBot="1" x14ac:dyDescent="0.4">
      <c r="B128" s="247" t="str">
        <f>D_T02!B31</f>
        <v>Hot Water System - electric</v>
      </c>
      <c r="C128" s="106"/>
      <c r="D128" s="106"/>
      <c r="E128" s="112" t="s">
        <v>93</v>
      </c>
      <c r="F128" s="105" t="str">
        <f t="shared" si="6"/>
        <v>Pass</v>
      </c>
      <c r="H128" s="9">
        <f t="shared" si="5"/>
        <v>0</v>
      </c>
    </row>
    <row r="129" spans="1:8" ht="15" thickBot="1" x14ac:dyDescent="0.4">
      <c r="B129" s="247" t="str">
        <f>D_T02!B32</f>
        <v>All Hot Water Lines</v>
      </c>
      <c r="C129" s="106"/>
      <c r="D129" s="106"/>
      <c r="E129" s="112" t="s">
        <v>56</v>
      </c>
      <c r="F129" s="105" t="str">
        <f t="shared" si="6"/>
        <v>Software Doesn't Check</v>
      </c>
      <c r="H129" s="9">
        <f t="shared" si="5"/>
        <v>0</v>
      </c>
    </row>
    <row r="130" spans="1:8" ht="15" thickBot="1" x14ac:dyDescent="0.4">
      <c r="B130" s="247" t="str">
        <f>D_T02!B33</f>
        <v>Hot Water Circulation -none</v>
      </c>
      <c r="C130" s="106"/>
      <c r="D130" s="106"/>
      <c r="E130" s="112" t="s">
        <v>56</v>
      </c>
      <c r="F130" s="105" t="str">
        <f t="shared" si="6"/>
        <v>Software Doesn't Check</v>
      </c>
      <c r="H130" s="9">
        <f t="shared" si="5"/>
        <v>0</v>
      </c>
    </row>
    <row r="131" spans="1:8" ht="15" thickBot="1" x14ac:dyDescent="0.4">
      <c r="B131" s="247" t="str">
        <f>D_T02!B34</f>
        <v>Lighting</v>
      </c>
      <c r="C131" s="106"/>
      <c r="D131" s="106"/>
      <c r="E131" s="112" t="s">
        <v>93</v>
      </c>
      <c r="F131" s="105" t="str">
        <f t="shared" si="6"/>
        <v>Pass</v>
      </c>
      <c r="H131" s="9">
        <f t="shared" si="5"/>
        <v>0</v>
      </c>
    </row>
    <row r="132" spans="1:8" ht="15" thickBot="1" x14ac:dyDescent="0.4">
      <c r="B132" s="247" t="str">
        <f>D_T02!B35</f>
        <v>Pool and Spa - none</v>
      </c>
      <c r="C132" s="106"/>
      <c r="D132" s="106"/>
      <c r="E132" s="112" t="s">
        <v>56</v>
      </c>
      <c r="F132" s="105" t="str">
        <f t="shared" si="6"/>
        <v>Software Doesn't Check</v>
      </c>
      <c r="H132" s="9">
        <f t="shared" si="5"/>
        <v>0</v>
      </c>
    </row>
    <row r="133" spans="1:8" ht="15" thickBot="1" x14ac:dyDescent="0.4">
      <c r="B133" s="248" t="str">
        <f>D_T02!B38</f>
        <v>Area Weighted Fenestration U-Factor Value</v>
      </c>
      <c r="C133" s="106"/>
      <c r="D133" s="106"/>
      <c r="E133" s="110"/>
      <c r="F133" s="105" t="s">
        <v>63</v>
      </c>
      <c r="H133" s="9">
        <f t="shared" si="5"/>
        <v>0</v>
      </c>
    </row>
    <row r="134" spans="1:8" ht="15" thickBot="1" x14ac:dyDescent="0.4">
      <c r="B134" s="248" t="str">
        <f>D_T02!B39</f>
        <v>Area Weighted Fenestration SHGC Value</v>
      </c>
      <c r="C134" s="106"/>
      <c r="D134" s="106"/>
      <c r="E134" s="103">
        <v>0.27400000000000002</v>
      </c>
      <c r="F134" s="105" t="str">
        <f>IF(E134&gt;UA_T02!S27,IF(E134&lt;=UA_T02!S28,"Pass","Fail"),"Fail")</f>
        <v>Pass</v>
      </c>
      <c r="H134" s="9">
        <f t="shared" si="5"/>
        <v>0</v>
      </c>
    </row>
    <row r="135" spans="1:8" ht="15" thickBot="1" x14ac:dyDescent="0.4">
      <c r="B135" s="248" t="str">
        <f>D_T02!B40</f>
        <v>Total Thermal Envelope UA Value</v>
      </c>
      <c r="C135" s="106"/>
      <c r="D135" s="106"/>
      <c r="E135" s="103">
        <v>370.1</v>
      </c>
      <c r="F135" s="470" t="str">
        <f>IF(E135&gt;=UA_T02!H27,IF(E135&lt;=UA_T02!H28,"Pass","Fail"),"Fail")</f>
        <v>Pass</v>
      </c>
      <c r="H135" s="9">
        <f t="shared" si="5"/>
        <v>0</v>
      </c>
    </row>
    <row r="136" spans="1:8" ht="15" thickBot="1" x14ac:dyDescent="0.4">
      <c r="B136" s="248" t="str">
        <f>D_T02!B41</f>
        <v>Area Weighted Fenestration U-Factor Result</v>
      </c>
      <c r="C136" s="106"/>
      <c r="D136" s="106"/>
      <c r="E136" s="110"/>
      <c r="F136" s="105" t="s">
        <v>63</v>
      </c>
      <c r="H136" s="9">
        <f t="shared" si="5"/>
        <v>0</v>
      </c>
    </row>
    <row r="137" spans="1:8" ht="15" thickBot="1" x14ac:dyDescent="0.4">
      <c r="B137" s="248" t="str">
        <f>D_T02!B42</f>
        <v>Area Weighted Fenestration SHGC Result</v>
      </c>
      <c r="C137" s="106"/>
      <c r="D137" s="106"/>
      <c r="E137" s="103" t="s">
        <v>74</v>
      </c>
      <c r="F137" s="105" t="str">
        <f>IF(E137="Average SHGC too high","Pass","Fail")</f>
        <v>Pass</v>
      </c>
      <c r="H137" s="9">
        <f t="shared" si="5"/>
        <v>0</v>
      </c>
    </row>
    <row r="138" spans="1:8" ht="18" customHeight="1" thickBot="1" x14ac:dyDescent="0.4">
      <c r="B138" s="248" t="str">
        <f>D_T02!B43</f>
        <v>Baseline Thermal Envelope UA Value</v>
      </c>
      <c r="C138" s="106"/>
      <c r="D138" s="106"/>
      <c r="E138" s="103">
        <v>397.9</v>
      </c>
      <c r="F138" s="105" t="str">
        <f>IF(E138&gt;=UA_T02!J27,IF(E138&lt;=UA_T02!J28,"Pass","Fail"),"Fail")</f>
        <v>Pass</v>
      </c>
      <c r="H138" s="9">
        <f t="shared" si="5"/>
        <v>0</v>
      </c>
    </row>
    <row r="139" spans="1:8" ht="15" thickBot="1" x14ac:dyDescent="0.4">
      <c r="B139" s="248" t="str">
        <f>D_T02!B44</f>
        <v>Total Thermal Envelope UA Result</v>
      </c>
      <c r="C139" s="106"/>
      <c r="D139" s="106"/>
      <c r="E139" s="103" t="s">
        <v>93</v>
      </c>
      <c r="F139" s="105" t="str">
        <f>IF(E139="Complies","Pass","Fail")</f>
        <v>Pass</v>
      </c>
      <c r="H139" s="9">
        <f t="shared" si="5"/>
        <v>0</v>
      </c>
    </row>
    <row r="140" spans="1:8" ht="15" thickBot="1" x14ac:dyDescent="0.4">
      <c r="B140" s="248" t="str">
        <f>D_T02!B45</f>
        <v>House Complies?</v>
      </c>
      <c r="C140" s="106"/>
      <c r="D140" s="106"/>
      <c r="E140" s="103" t="s">
        <v>120</v>
      </c>
      <c r="F140" s="105" t="str">
        <f>IF(E140="No","Pass","Fail")</f>
        <v>Pass</v>
      </c>
      <c r="H140" s="9">
        <f t="shared" si="5"/>
        <v>0</v>
      </c>
    </row>
    <row r="141" spans="1:8" ht="21.65" customHeight="1" x14ac:dyDescent="0.6">
      <c r="E141" s="15" t="s">
        <v>85</v>
      </c>
      <c r="F141" s="16" t="str">
        <f>IF(H141&gt;0,"FAIL","PASS")</f>
        <v>PASS</v>
      </c>
      <c r="H141" s="256">
        <f xml:space="preserve"> SUM(H105:H140)</f>
        <v>0</v>
      </c>
    </row>
    <row r="142" spans="1:8" ht="8.5" customHeight="1" x14ac:dyDescent="0.35">
      <c r="A142" s="14"/>
      <c r="B142" s="14"/>
      <c r="C142" s="14"/>
      <c r="D142" s="14"/>
      <c r="E142" s="14"/>
      <c r="F142" s="14"/>
      <c r="G142" s="14"/>
    </row>
  </sheetData>
  <sheetProtection algorithmName="SHA-512" hashValue="HRuTA4yE+k8k4+W3SY8RB1FgCUIRQI/R+V9zYjhm5UAuAWICDWQPaJPQRTnAzRwf+jHrpES77uF2x4A+3Huj4Q==" saltValue="nexpFPAOPlCjtmbjpnGRcA==" spinCount="100000" sheet="1" objects="1" scenarios="1"/>
  <mergeCells count="3">
    <mergeCell ref="D3:E3"/>
    <mergeCell ref="D52:E52"/>
    <mergeCell ref="D99:E99"/>
  </mergeCells>
  <dataValidations count="28">
    <dataValidation type="list" allowBlank="1" showInputMessage="1" showErrorMessage="1" sqref="E127 E80 C33">
      <formula1>MechanicalVent</formula1>
    </dataValidation>
    <dataValidation type="list" allowBlank="1" showInputMessage="1" showErrorMessage="1" sqref="E93 C46 E140">
      <formula1>Complies</formula1>
    </dataValidation>
    <dataValidation type="list" allowBlank="1" showInputMessage="1" showErrorMessage="1" sqref="C60 C107 C109 C112 C114 C116 C118 C62 C65 C67 C69 C71">
      <formula1>UCalcMethod</formula1>
    </dataValidation>
    <dataValidation type="decimal" allowBlank="1" showInputMessage="1" showErrorMessage="1" sqref="D135 D138">
      <formula1>0</formula1>
      <formula2>1000</formula2>
    </dataValidation>
    <dataValidation type="list" allowBlank="1" showInputMessage="1" showErrorMessage="1" sqref="C41 C44:C45 E139">
      <formula1>TotalUA</formula1>
    </dataValidation>
    <dataValidation type="list" allowBlank="1" showInputMessage="1" showErrorMessage="1" sqref="C43 E90 E137">
      <formula1>OverallFenSHGC</formula1>
    </dataValidation>
    <dataValidation type="list" allowBlank="1" showInputMessage="1" showErrorMessage="1" sqref="C42 E89">
      <formula1>OverallFenU</formula1>
    </dataValidation>
    <dataValidation type="decimal" allowBlank="1" showInputMessage="1" showErrorMessage="1" sqref="D107 D65 D60 D62 C40 D109 D67 D114 D116 D112 D71 D69 D118">
      <formula1>0</formula1>
      <formula2>1</formula2>
    </dataValidation>
    <dataValidation type="decimal" allowBlank="1" showInputMessage="1" showErrorMessage="1" sqref="C39 D72 D61 D110:D111 D63:D64 D66 D68 D113 D115 D117 D108 D70 D119">
      <formula1>0</formula1>
      <formula2>2</formula2>
    </dataValidation>
    <dataValidation type="list" allowBlank="1" showInputMessage="1" showErrorMessage="1" sqref="C15 C18 C20 C22 C24 E71 E62 E65 E69 E67">
      <formula1>Wall</formula1>
    </dataValidation>
    <dataValidation type="list" allowBlank="1" showInputMessage="1" showErrorMessage="1" sqref="C38 E85 E132">
      <formula1>PoolandSpa</formula1>
    </dataValidation>
    <dataValidation type="list" allowBlank="1" showInputMessage="1" showErrorMessage="1" sqref="C37 E84 E131">
      <formula1>Lighting</formula1>
    </dataValidation>
    <dataValidation type="list" allowBlank="1" showInputMessage="1" showErrorMessage="1" sqref="C36 E83 E130">
      <formula1>HotWaterCirculation</formula1>
    </dataValidation>
    <dataValidation type="list" allowBlank="1" showInputMessage="1" showErrorMessage="1" sqref="C35 E82 E129">
      <formula1>HotWaterLines</formula1>
    </dataValidation>
    <dataValidation type="list" allowBlank="1" showInputMessage="1" showErrorMessage="1" sqref="C34 E81 E128">
      <formula1>HotWaterSystem</formula1>
    </dataValidation>
    <dataValidation type="list" allowBlank="1" showInputMessage="1" showErrorMessage="1" sqref="C32 E79 E126">
      <formula1>AirHandler</formula1>
    </dataValidation>
    <dataValidation type="list" allowBlank="1" showInputMessage="1" showErrorMessage="1" sqref="C31 E78 E125">
      <formula1>DuctTightness</formula1>
    </dataValidation>
    <dataValidation type="list" allowBlank="1" showInputMessage="1" showErrorMessage="1" sqref="C30 E77 E124">
      <formula1>ReturnDucts</formula1>
    </dataValidation>
    <dataValidation type="list" allowBlank="1" showInputMessage="1" showErrorMessage="1" sqref="C29 E76 E123">
      <formula1>SupplyDucts</formula1>
    </dataValidation>
    <dataValidation type="list" allowBlank="1" showInputMessage="1" showErrorMessage="1" sqref="C28 E75 E122">
      <formula1>Cooling</formula1>
    </dataValidation>
    <dataValidation type="list" allowBlank="1" showInputMessage="1" showErrorMessage="1" sqref="C27 E74 E121">
      <formula1>Heating</formula1>
    </dataValidation>
    <dataValidation type="list" allowBlank="1" showInputMessage="1" showErrorMessage="1" sqref="C26 E73 E120">
      <formula1>Infiltration</formula1>
    </dataValidation>
    <dataValidation type="list" allowBlank="1" showInputMessage="1" showErrorMessage="1" sqref="C17 C19 C21 C23 C25 E68 E64 C113 E66 E119 E113 E110:E111 E115 E117 E70 C115 E72 C117 C119 C111">
      <formula1>Window</formula1>
    </dataValidation>
    <dataValidation type="list" allowBlank="1" showInputMessage="1" showErrorMessage="1" sqref="C16 C110 E63">
      <formula1>Door</formula1>
    </dataValidation>
    <dataValidation type="list" allowBlank="1" showInputMessage="1" showErrorMessage="1" sqref="C14 C61 E61 C108 E108">
      <formula1>Skylight</formula1>
    </dataValidation>
    <dataValidation type="list" allowBlank="1" showInputMessage="1" showErrorMessage="1" sqref="C13 E60">
      <formula1>Ceiling</formula1>
    </dataValidation>
    <dataValidation type="list" allowBlank="1" showInputMessage="1" showErrorMessage="1" sqref="C12 E59">
      <formula1>Roof</formula1>
    </dataValidation>
    <dataValidation type="list" allowBlank="1" showInputMessage="1" showErrorMessage="1" sqref="C11 E58">
      <formula1>Floor</formula1>
    </dataValidation>
  </dataValidations>
  <pageMargins left="0.7" right="0.7" top="0.75" bottom="0.75" header="0.3" footer="0.3"/>
  <pageSetup scale="66" orientation="portrait" r:id="rId1"/>
  <rowBreaks count="2" manualBreakCount="2">
    <brk id="48" max="5" man="1"/>
    <brk id="95"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T110"/>
  <sheetViews>
    <sheetView zoomScaleNormal="100" zoomScaleSheetLayoutView="37" workbookViewId="0">
      <selection activeCell="B2" sqref="B2"/>
    </sheetView>
  </sheetViews>
  <sheetFormatPr defaultColWidth="9.1796875" defaultRowHeight="14.5" x14ac:dyDescent="0.35"/>
  <cols>
    <col min="1" max="1" width="4.54296875" style="305" customWidth="1"/>
    <col min="2" max="2" width="8.26953125" style="305" customWidth="1"/>
    <col min="3" max="3" width="49.81640625" style="305" customWidth="1"/>
    <col min="4" max="5" width="12.7265625" style="305" customWidth="1"/>
    <col min="6" max="6" width="13.26953125" style="305" customWidth="1"/>
    <col min="7" max="7" width="11.54296875" style="305" customWidth="1"/>
    <col min="8" max="8" width="11.26953125" style="305" customWidth="1"/>
    <col min="9" max="10" width="11.1796875" style="305" customWidth="1"/>
    <col min="11" max="12" width="12" style="305" customWidth="1"/>
    <col min="13" max="13" width="10.54296875" style="305" customWidth="1"/>
    <col min="14" max="14" width="12" style="305" customWidth="1"/>
    <col min="15" max="15" width="10.1796875" style="305" customWidth="1"/>
    <col min="16" max="20" width="12" style="305" customWidth="1"/>
    <col min="21" max="16384" width="9.1796875" style="305"/>
  </cols>
  <sheetData>
    <row r="2" spans="2:20" x14ac:dyDescent="0.35">
      <c r="B2" s="450" t="str">
        <f>D_T02!B2</f>
        <v xml:space="preserve">Prescriptive Test: House T02 (Pr-T02) Characteristics – Location: Tampa, Florida. </v>
      </c>
      <c r="C2" s="450"/>
      <c r="D2" s="450"/>
      <c r="E2" s="450"/>
      <c r="F2" s="331"/>
    </row>
    <row r="3" spans="2:20" x14ac:dyDescent="0.35">
      <c r="B3" s="450" t="str">
        <f>D_T02!B3</f>
        <v>Single Family Detached Home with No Attached Garage, Single Story, Three bedroom.</v>
      </c>
      <c r="C3" s="450"/>
      <c r="D3" s="450"/>
      <c r="E3" s="450"/>
      <c r="F3" s="331"/>
    </row>
    <row r="4" spans="2:20" x14ac:dyDescent="0.35">
      <c r="E4" s="261"/>
    </row>
    <row r="5" spans="2:20" ht="18.75" customHeight="1" x14ac:dyDescent="0.35">
      <c r="B5" s="326" t="s">
        <v>411</v>
      </c>
      <c r="C5" s="326"/>
      <c r="D5" s="326"/>
      <c r="E5" s="326"/>
      <c r="F5" s="326"/>
      <c r="G5" s="326"/>
      <c r="H5" s="326"/>
      <c r="I5" s="326"/>
      <c r="J5" s="326"/>
      <c r="K5" s="513" t="str">
        <f>Selections!K18</f>
        <v>Fenestration Area</v>
      </c>
      <c r="L5" s="514"/>
      <c r="M5" s="515" t="str">
        <f>Selections!M18</f>
        <v>Rvalue Method</v>
      </c>
      <c r="N5" s="514"/>
      <c r="O5" s="515" t="str">
        <f>Selections!O18</f>
        <v>Uvalue Method</v>
      </c>
      <c r="P5" s="514"/>
      <c r="Q5" s="515" t="str">
        <f>Selections!Q18</f>
        <v>Rvalue Method</v>
      </c>
      <c r="R5" s="514"/>
      <c r="S5" s="515" t="str">
        <f>Selections!S18</f>
        <v>Uvalue Method</v>
      </c>
      <c r="T5" s="514"/>
    </row>
    <row r="6" spans="2:20" ht="48" customHeight="1" x14ac:dyDescent="0.35">
      <c r="B6" s="226"/>
      <c r="C6" s="227"/>
      <c r="D6" s="516" t="str">
        <f>Selections!D19</f>
        <v>Envelope Geometry (Area)</v>
      </c>
      <c r="E6" s="517"/>
      <c r="F6" s="518"/>
      <c r="G6" s="519" t="str">
        <f>Selections!G19</f>
        <v>Proposed Home</v>
      </c>
      <c r="H6" s="520"/>
      <c r="I6" s="519" t="str">
        <f>Selections!I19</f>
        <v>Reference Home</v>
      </c>
      <c r="J6" s="520"/>
      <c r="K6" s="511" t="str">
        <f>Selections!K19</f>
        <v>Compliance Method Fenestration Area</v>
      </c>
      <c r="L6" s="512"/>
      <c r="M6" s="511" t="str">
        <f>Selections!M19</f>
        <v>Window Area Weighted Avg Proposed U-Factor</v>
      </c>
      <c r="N6" s="512"/>
      <c r="O6" s="511" t="str">
        <f>Selections!O19</f>
        <v>Window Area Weighted Avg Proposed U-Factor</v>
      </c>
      <c r="P6" s="512"/>
      <c r="Q6" s="511" t="str">
        <f>Selections!Q19</f>
        <v>Window Area Weighted Avg Proposed SHGC</v>
      </c>
      <c r="R6" s="512"/>
      <c r="S6" s="511" t="str">
        <f>Selections!S19</f>
        <v>Window Area Weighted Avg Proposed SHGC</v>
      </c>
      <c r="T6" s="512"/>
    </row>
    <row r="7" spans="2:20" ht="39.75" customHeight="1" thickBot="1" x14ac:dyDescent="0.4">
      <c r="B7" s="231"/>
      <c r="C7" s="232" t="str">
        <f>Selections!C20</f>
        <v>Envelope Name</v>
      </c>
      <c r="D7" s="233" t="str">
        <f>Selections!D20</f>
        <v>Envelope Type</v>
      </c>
      <c r="E7" s="233" t="str">
        <f>Selections!E20</f>
        <v>Gross Area</v>
      </c>
      <c r="F7" s="233" t="str">
        <f>Selections!F20</f>
        <v>Net Area</v>
      </c>
      <c r="G7" s="234" t="str">
        <f>Selections!G20</f>
        <v>U-Factor Proposed</v>
      </c>
      <c r="H7" s="235" t="str">
        <f>Selections!H20</f>
        <v>UA-Value Proposed</v>
      </c>
      <c r="I7" s="233" t="str">
        <f>Selections!I20</f>
        <v>U-Factor Reference</v>
      </c>
      <c r="J7" s="235" t="str">
        <f>Selections!J20</f>
        <v>UA-Value Reference</v>
      </c>
      <c r="K7" s="236" t="str">
        <f>Selections!K20</f>
        <v>R-Value Method</v>
      </c>
      <c r="L7" s="236" t="str">
        <f>Selections!L20</f>
        <v>U-Factor Method</v>
      </c>
      <c r="M7" s="236" t="str">
        <f>Selections!M20</f>
        <v>U-Factor</v>
      </c>
      <c r="N7" s="236" t="str">
        <f>Selections!N20</f>
        <v>UA-Value</v>
      </c>
      <c r="O7" s="236" t="str">
        <f>Selections!O20</f>
        <v>U-Factor</v>
      </c>
      <c r="P7" s="236" t="str">
        <f>Selections!P20</f>
        <v>UA-Value</v>
      </c>
      <c r="Q7" s="236" t="str">
        <f>Selections!Q20</f>
        <v>SHGC</v>
      </c>
      <c r="R7" s="236" t="str">
        <f>Selections!R20</f>
        <v>SHGC x Area</v>
      </c>
      <c r="S7" s="236" t="str">
        <f>Selections!S20</f>
        <v>SHGC</v>
      </c>
      <c r="T7" s="236" t="str">
        <f>Selections!T20</f>
        <v>SHGC x Area</v>
      </c>
    </row>
    <row r="8" spans="2:20" ht="15" customHeight="1" thickTop="1" x14ac:dyDescent="0.35">
      <c r="B8" s="303">
        <v>1</v>
      </c>
      <c r="C8" s="223" t="str">
        <f>D_T02!B8</f>
        <v>Slab-on-grade Floor</v>
      </c>
      <c r="D8" s="38" t="s">
        <v>30</v>
      </c>
      <c r="E8" s="39"/>
      <c r="F8" s="40"/>
      <c r="G8" s="41"/>
      <c r="H8" s="40"/>
      <c r="I8" s="287"/>
      <c r="J8" s="287"/>
      <c r="K8" s="38"/>
      <c r="L8" s="40"/>
      <c r="M8" s="39"/>
      <c r="N8" s="40"/>
      <c r="O8" s="43"/>
      <c r="P8" s="40"/>
      <c r="Q8" s="43"/>
      <c r="R8" s="40"/>
      <c r="S8" s="43"/>
      <c r="T8" s="40"/>
    </row>
    <row r="9" spans="2:20" ht="15" customHeight="1" x14ac:dyDescent="0.35">
      <c r="B9" s="262">
        <v>2</v>
      </c>
      <c r="C9" s="224" t="str">
        <f>D_T02!B9</f>
        <v>Roof – gable type- 5 in 12 slope No overhangs</v>
      </c>
      <c r="D9" s="46" t="s">
        <v>33</v>
      </c>
      <c r="E9" s="263"/>
      <c r="F9" s="48"/>
      <c r="G9" s="46"/>
      <c r="H9" s="48"/>
      <c r="I9" s="263"/>
      <c r="J9" s="263"/>
      <c r="K9" s="46"/>
      <c r="L9" s="48"/>
      <c r="M9" s="263"/>
      <c r="N9" s="48"/>
      <c r="O9" s="262"/>
      <c r="P9" s="48"/>
      <c r="Q9" s="262"/>
      <c r="R9" s="48"/>
      <c r="S9" s="262"/>
      <c r="T9" s="48"/>
    </row>
    <row r="10" spans="2:20" ht="15" customHeight="1" x14ac:dyDescent="0.35">
      <c r="B10" s="262">
        <v>3</v>
      </c>
      <c r="C10" s="224" t="str">
        <f>D_T02!B10</f>
        <v>Ceiling1 –flat under attic</v>
      </c>
      <c r="D10" s="46" t="s">
        <v>34</v>
      </c>
      <c r="E10" s="133">
        <f>D_T02!G10</f>
        <v>2000</v>
      </c>
      <c r="F10" s="205">
        <f>E10-E11</f>
        <v>1990</v>
      </c>
      <c r="G10" s="206">
        <f>D59</f>
        <v>3.4532095288602439E-2</v>
      </c>
      <c r="H10" s="202">
        <f t="shared" ref="H10:H22" si="0">$G10*$F10</f>
        <v>68.718869624318856</v>
      </c>
      <c r="I10" s="136">
        <f>D35</f>
        <v>0.03</v>
      </c>
      <c r="J10" s="124">
        <f t="shared" ref="J10:J22" si="1">$I10*$F10</f>
        <v>59.699999999999996</v>
      </c>
      <c r="K10" s="50"/>
      <c r="L10" s="49"/>
      <c r="M10" s="263"/>
      <c r="N10" s="48"/>
      <c r="O10" s="262"/>
      <c r="P10" s="48"/>
      <c r="Q10" s="262"/>
      <c r="R10" s="48"/>
      <c r="S10" s="262"/>
      <c r="T10" s="48"/>
    </row>
    <row r="11" spans="2:20" ht="15" customHeight="1" x14ac:dyDescent="0.35">
      <c r="B11" s="262">
        <v>4</v>
      </c>
      <c r="C11" s="224" t="str">
        <f>D_T02!B11</f>
        <v xml:space="preserve">        Skylight</v>
      </c>
      <c r="D11" s="46" t="s">
        <v>35</v>
      </c>
      <c r="E11" s="133">
        <f>D_T02!G11</f>
        <v>10</v>
      </c>
      <c r="F11" s="205">
        <f>E11</f>
        <v>10</v>
      </c>
      <c r="G11" s="206">
        <f>D_T02!E11</f>
        <v>0.65</v>
      </c>
      <c r="H11" s="202">
        <f t="shared" si="0"/>
        <v>6.5</v>
      </c>
      <c r="I11" s="136">
        <f>D38</f>
        <v>0.65</v>
      </c>
      <c r="J11" s="124">
        <f t="shared" si="1"/>
        <v>6.5</v>
      </c>
      <c r="K11" s="201">
        <f>E11</f>
        <v>10</v>
      </c>
      <c r="L11" s="202">
        <f>E11</f>
        <v>10</v>
      </c>
      <c r="M11" s="136">
        <f>$G11</f>
        <v>0.65</v>
      </c>
      <c r="N11" s="202">
        <f>K11*M11</f>
        <v>6.5</v>
      </c>
      <c r="O11" s="339">
        <f>$G11</f>
        <v>0.65</v>
      </c>
      <c r="P11" s="202">
        <f>O11*L11</f>
        <v>6.5</v>
      </c>
      <c r="Q11" s="339">
        <f>D_T02!F11</f>
        <v>0.25</v>
      </c>
      <c r="R11" s="202">
        <f>K11*Q11</f>
        <v>2.5</v>
      </c>
      <c r="S11" s="339">
        <f>$Q11</f>
        <v>0.25</v>
      </c>
      <c r="T11" s="202">
        <f>S11*L11</f>
        <v>2.5</v>
      </c>
    </row>
    <row r="12" spans="2:20" ht="15" customHeight="1" x14ac:dyDescent="0.35">
      <c r="B12" s="262">
        <v>5</v>
      </c>
      <c r="C12" s="224" t="str">
        <f>D_T02!B12</f>
        <v>Wall 1 –faces North, CBS2</v>
      </c>
      <c r="D12" s="46" t="s">
        <v>36</v>
      </c>
      <c r="E12" s="133">
        <f>D_T02!G12</f>
        <v>500</v>
      </c>
      <c r="F12" s="205">
        <f>E12-E13-E14</f>
        <v>401</v>
      </c>
      <c r="G12" s="206">
        <f>D75</f>
        <v>0.10312926159551063</v>
      </c>
      <c r="H12" s="202">
        <f t="shared" si="0"/>
        <v>41.354833899799765</v>
      </c>
      <c r="I12" s="136">
        <f>D36</f>
        <v>0.14000000000000001</v>
      </c>
      <c r="J12" s="124">
        <f t="shared" si="1"/>
        <v>56.140000000000008</v>
      </c>
      <c r="K12" s="201"/>
      <c r="L12" s="202"/>
      <c r="M12" s="133"/>
      <c r="N12" s="203"/>
      <c r="O12" s="338"/>
      <c r="P12" s="203"/>
      <c r="Q12" s="338"/>
      <c r="R12" s="203"/>
      <c r="S12" s="339"/>
      <c r="T12" s="203"/>
    </row>
    <row r="13" spans="2:20" ht="15" customHeight="1" x14ac:dyDescent="0.35">
      <c r="B13" s="262">
        <v>6</v>
      </c>
      <c r="C13" s="224" t="str">
        <f>D_T02!B13</f>
        <v xml:space="preserve">        Door 1 </v>
      </c>
      <c r="D13" s="46" t="s">
        <v>38</v>
      </c>
      <c r="E13" s="133">
        <f>D_T02!G13</f>
        <v>24</v>
      </c>
      <c r="F13" s="205">
        <f>E13</f>
        <v>24</v>
      </c>
      <c r="G13" s="206">
        <f>D_T02!E13</f>
        <v>0.8</v>
      </c>
      <c r="H13" s="202">
        <f t="shared" si="0"/>
        <v>19.200000000000003</v>
      </c>
      <c r="I13" s="136">
        <f>D39</f>
        <v>0.4</v>
      </c>
      <c r="J13" s="124">
        <f t="shared" si="1"/>
        <v>9.6000000000000014</v>
      </c>
      <c r="K13" s="201">
        <f>IF(E13&lt;=Selections!$C$32,0,E13)</f>
        <v>0</v>
      </c>
      <c r="L13" s="202">
        <f>E13</f>
        <v>24</v>
      </c>
      <c r="M13" s="133">
        <v>0</v>
      </c>
      <c r="N13" s="202">
        <f>K13*M13</f>
        <v>0</v>
      </c>
      <c r="O13" s="339">
        <f>$G13</f>
        <v>0.8</v>
      </c>
      <c r="P13" s="202">
        <f>O13*L13</f>
        <v>19.200000000000003</v>
      </c>
      <c r="Q13" s="338">
        <f>D_T02!F13</f>
        <v>0</v>
      </c>
      <c r="R13" s="202">
        <f>K13*Q13</f>
        <v>0</v>
      </c>
      <c r="S13" s="138">
        <f t="shared" ref="S13:S22" si="2">$Q13</f>
        <v>0</v>
      </c>
      <c r="T13" s="202">
        <f>S13*L13</f>
        <v>0</v>
      </c>
    </row>
    <row r="14" spans="2:20" ht="15" customHeight="1" x14ac:dyDescent="0.35">
      <c r="B14" s="262">
        <v>7</v>
      </c>
      <c r="C14" s="224" t="str">
        <f>D_T02!B14</f>
        <v xml:space="preserve">        Window 1 – Metal Frame Double Clear</v>
      </c>
      <c r="D14" s="46" t="s">
        <v>37</v>
      </c>
      <c r="E14" s="133">
        <f>D_T02!G14</f>
        <v>75</v>
      </c>
      <c r="F14" s="205">
        <f>E14</f>
        <v>75</v>
      </c>
      <c r="G14" s="206">
        <f>D_T02!E14</f>
        <v>0.68</v>
      </c>
      <c r="H14" s="202">
        <f t="shared" si="0"/>
        <v>51.000000000000007</v>
      </c>
      <c r="I14" s="136">
        <f>D40</f>
        <v>0.4</v>
      </c>
      <c r="J14" s="124">
        <f t="shared" si="1"/>
        <v>30</v>
      </c>
      <c r="K14" s="201">
        <f>IF(E14&lt;=Selections!$C$33,0,E14)</f>
        <v>75</v>
      </c>
      <c r="L14" s="202">
        <f>E14</f>
        <v>75</v>
      </c>
      <c r="M14" s="136">
        <f>$G14</f>
        <v>0.68</v>
      </c>
      <c r="N14" s="202">
        <f>K14*M14</f>
        <v>51.000000000000007</v>
      </c>
      <c r="O14" s="339">
        <f>$G14</f>
        <v>0.68</v>
      </c>
      <c r="P14" s="202">
        <f>O14*L14</f>
        <v>51.000000000000007</v>
      </c>
      <c r="Q14" s="339">
        <f>D_T02!F14</f>
        <v>0.46</v>
      </c>
      <c r="R14" s="202">
        <f>K14*Q14</f>
        <v>34.5</v>
      </c>
      <c r="S14" s="339">
        <f t="shared" si="2"/>
        <v>0.46</v>
      </c>
      <c r="T14" s="202">
        <f>S14*L14</f>
        <v>34.5</v>
      </c>
    </row>
    <row r="15" spans="2:20" ht="15" customHeight="1" x14ac:dyDescent="0.35">
      <c r="B15" s="262">
        <v>8</v>
      </c>
      <c r="C15" s="224" t="str">
        <f>D_T02!B15</f>
        <v>Wall 2 –faces East, CBS</v>
      </c>
      <c r="D15" s="51" t="s">
        <v>36</v>
      </c>
      <c r="E15" s="133">
        <f>D_T02!G15</f>
        <v>400</v>
      </c>
      <c r="F15" s="205">
        <f>E15-E16</f>
        <v>325</v>
      </c>
      <c r="G15" s="206">
        <f>D75</f>
        <v>0.10312926159551063</v>
      </c>
      <c r="H15" s="202">
        <f t="shared" si="0"/>
        <v>33.517010018540951</v>
      </c>
      <c r="I15" s="136">
        <f>D36</f>
        <v>0.14000000000000001</v>
      </c>
      <c r="J15" s="124">
        <f t="shared" si="1"/>
        <v>45.500000000000007</v>
      </c>
      <c r="K15" s="201"/>
      <c r="L15" s="202"/>
      <c r="M15" s="133"/>
      <c r="N15" s="203"/>
      <c r="O15" s="338"/>
      <c r="P15" s="203"/>
      <c r="Q15" s="338"/>
      <c r="R15" s="203"/>
      <c r="S15" s="339"/>
      <c r="T15" s="203"/>
    </row>
    <row r="16" spans="2:20" ht="15" customHeight="1" x14ac:dyDescent="0.35">
      <c r="B16" s="262">
        <v>9</v>
      </c>
      <c r="C16" s="224" t="str">
        <f>D_T02!B16</f>
        <v xml:space="preserve">        Window 2 – Vinyl Frame Low-e Double</v>
      </c>
      <c r="D16" s="46" t="s">
        <v>37</v>
      </c>
      <c r="E16" s="133">
        <f>D_T02!G16</f>
        <v>75</v>
      </c>
      <c r="F16" s="205">
        <f>E16</f>
        <v>75</v>
      </c>
      <c r="G16" s="206">
        <f>D_T02!E16</f>
        <v>0.27</v>
      </c>
      <c r="H16" s="202">
        <f t="shared" si="0"/>
        <v>20.25</v>
      </c>
      <c r="I16" s="136">
        <f>D41</f>
        <v>0.4</v>
      </c>
      <c r="J16" s="124">
        <f t="shared" si="1"/>
        <v>30</v>
      </c>
      <c r="K16" s="201">
        <f>IF(E16&lt;=Selections!$C$33,0,E16)</f>
        <v>75</v>
      </c>
      <c r="L16" s="202">
        <f>E16</f>
        <v>75</v>
      </c>
      <c r="M16" s="136">
        <f>$G16</f>
        <v>0.27</v>
      </c>
      <c r="N16" s="202">
        <f>K16*M16</f>
        <v>20.25</v>
      </c>
      <c r="O16" s="339">
        <f>$G16</f>
        <v>0.27</v>
      </c>
      <c r="P16" s="202">
        <f>O16*L16</f>
        <v>20.25</v>
      </c>
      <c r="Q16" s="339">
        <f>D_T02!F16</f>
        <v>0.17</v>
      </c>
      <c r="R16" s="202">
        <f>K16*Q16</f>
        <v>12.750000000000002</v>
      </c>
      <c r="S16" s="339">
        <f t="shared" si="2"/>
        <v>0.17</v>
      </c>
      <c r="T16" s="202">
        <f>S16*L16</f>
        <v>12.750000000000002</v>
      </c>
    </row>
    <row r="17" spans="2:20" ht="15" customHeight="1" x14ac:dyDescent="0.35">
      <c r="B17" s="262">
        <v>10</v>
      </c>
      <c r="C17" s="224" t="str">
        <f>D_T02!B17</f>
        <v>Wall 3 –faces South, CBS</v>
      </c>
      <c r="D17" s="46" t="s">
        <v>36</v>
      </c>
      <c r="E17" s="133">
        <f>D_T02!G17</f>
        <v>400</v>
      </c>
      <c r="F17" s="205">
        <f>E17-E18</f>
        <v>385</v>
      </c>
      <c r="G17" s="206">
        <f>D75</f>
        <v>0.10312926159551063</v>
      </c>
      <c r="H17" s="202">
        <f t="shared" si="0"/>
        <v>39.704765714271595</v>
      </c>
      <c r="I17" s="136">
        <f>D36</f>
        <v>0.14000000000000001</v>
      </c>
      <c r="J17" s="124">
        <f t="shared" si="1"/>
        <v>53.900000000000006</v>
      </c>
      <c r="K17" s="201"/>
      <c r="L17" s="202"/>
      <c r="M17" s="133"/>
      <c r="N17" s="203"/>
      <c r="O17" s="338"/>
      <c r="P17" s="203"/>
      <c r="Q17" s="338"/>
      <c r="R17" s="203"/>
      <c r="S17" s="339"/>
      <c r="T17" s="203"/>
    </row>
    <row r="18" spans="2:20" ht="15" customHeight="1" x14ac:dyDescent="0.35">
      <c r="B18" s="262">
        <v>11</v>
      </c>
      <c r="C18" s="224" t="str">
        <f>D_T02!B18</f>
        <v xml:space="preserve">        Window 3 – Metal Frame, Single Pane</v>
      </c>
      <c r="D18" s="46" t="s">
        <v>37</v>
      </c>
      <c r="E18" s="133">
        <f>D_T02!G18</f>
        <v>15</v>
      </c>
      <c r="F18" s="205">
        <f>E18</f>
        <v>15</v>
      </c>
      <c r="G18" s="206">
        <f>D_T02!E18</f>
        <v>1.2</v>
      </c>
      <c r="H18" s="202">
        <f t="shared" si="0"/>
        <v>18</v>
      </c>
      <c r="I18" s="136">
        <f>D42</f>
        <v>0.4</v>
      </c>
      <c r="J18" s="124">
        <f t="shared" si="1"/>
        <v>6</v>
      </c>
      <c r="K18" s="201">
        <f>IF(E18&lt;=Selections!$C$33,0,E18)</f>
        <v>0</v>
      </c>
      <c r="L18" s="202">
        <f>E18</f>
        <v>15</v>
      </c>
      <c r="M18" s="136">
        <f>$G18</f>
        <v>1.2</v>
      </c>
      <c r="N18" s="202">
        <f>K18*M18</f>
        <v>0</v>
      </c>
      <c r="O18" s="339">
        <f>$G18</f>
        <v>1.2</v>
      </c>
      <c r="P18" s="202">
        <f>O18*L18</f>
        <v>18</v>
      </c>
      <c r="Q18" s="339">
        <f>D_T02!F18</f>
        <v>0.8</v>
      </c>
      <c r="R18" s="202">
        <f>K18*Q18</f>
        <v>0</v>
      </c>
      <c r="S18" s="339">
        <f t="shared" si="2"/>
        <v>0.8</v>
      </c>
      <c r="T18" s="202">
        <f>S18*L18</f>
        <v>12</v>
      </c>
    </row>
    <row r="19" spans="2:20" ht="15" customHeight="1" x14ac:dyDescent="0.35">
      <c r="B19" s="262">
        <v>12</v>
      </c>
      <c r="C19" s="224" t="str">
        <f>D_T02!B19</f>
        <v>Wall 4 –faces South, Wood3 2x4 Studs</v>
      </c>
      <c r="D19" s="46" t="s">
        <v>36</v>
      </c>
      <c r="E19" s="133">
        <f>D_T02!G19</f>
        <v>100</v>
      </c>
      <c r="F19" s="205">
        <f>E19-E20</f>
        <v>40</v>
      </c>
      <c r="G19" s="206">
        <f>D90</f>
        <v>8.6865673938545357E-2</v>
      </c>
      <c r="H19" s="202">
        <f t="shared" si="0"/>
        <v>3.4746269575418145</v>
      </c>
      <c r="I19" s="136">
        <f>D37</f>
        <v>8.2000000000000003E-2</v>
      </c>
      <c r="J19" s="124">
        <f t="shared" si="1"/>
        <v>3.2800000000000002</v>
      </c>
      <c r="K19" s="201"/>
      <c r="L19" s="202"/>
      <c r="M19" s="133"/>
      <c r="N19" s="203"/>
      <c r="O19" s="338"/>
      <c r="P19" s="203"/>
      <c r="Q19" s="338"/>
      <c r="R19" s="203"/>
      <c r="S19" s="339"/>
      <c r="T19" s="203"/>
    </row>
    <row r="20" spans="2:20" ht="15" customHeight="1" x14ac:dyDescent="0.35">
      <c r="B20" s="262">
        <v>13</v>
      </c>
      <c r="C20" s="224" t="str">
        <f>D_T02!B20</f>
        <v xml:space="preserve">        Window 4 – Vinyl Frame  Low-e Double</v>
      </c>
      <c r="D20" s="46" t="s">
        <v>37</v>
      </c>
      <c r="E20" s="133">
        <f>D_T02!G20</f>
        <v>60</v>
      </c>
      <c r="F20" s="205">
        <f>E20</f>
        <v>60</v>
      </c>
      <c r="G20" s="206">
        <f>D_T02!E20</f>
        <v>0.27</v>
      </c>
      <c r="H20" s="202">
        <f t="shared" si="0"/>
        <v>16.200000000000003</v>
      </c>
      <c r="I20" s="136">
        <f>D41</f>
        <v>0.4</v>
      </c>
      <c r="J20" s="124">
        <f t="shared" si="1"/>
        <v>24</v>
      </c>
      <c r="K20" s="201">
        <f>IF(E20&lt;=Selections!$C$33,0,E20)</f>
        <v>60</v>
      </c>
      <c r="L20" s="202">
        <f>E20</f>
        <v>60</v>
      </c>
      <c r="M20" s="136">
        <f>$G20</f>
        <v>0.27</v>
      </c>
      <c r="N20" s="202">
        <f>K20*M20</f>
        <v>16.200000000000003</v>
      </c>
      <c r="O20" s="339">
        <f>$G20</f>
        <v>0.27</v>
      </c>
      <c r="P20" s="202">
        <f>O20*L20</f>
        <v>16.200000000000003</v>
      </c>
      <c r="Q20" s="339">
        <f>D_T02!F20</f>
        <v>0.17</v>
      </c>
      <c r="R20" s="202">
        <f>K20*Q20</f>
        <v>10.200000000000001</v>
      </c>
      <c r="S20" s="339">
        <f t="shared" si="2"/>
        <v>0.17</v>
      </c>
      <c r="T20" s="202">
        <f>S20*L20</f>
        <v>10.200000000000001</v>
      </c>
    </row>
    <row r="21" spans="2:20" ht="15" customHeight="1" x14ac:dyDescent="0.35">
      <c r="B21" s="262">
        <v>14</v>
      </c>
      <c r="C21" s="224" t="str">
        <f>D_T02!B21</f>
        <v>Wall 5 –faces West, CBS</v>
      </c>
      <c r="D21" s="46" t="s">
        <v>36</v>
      </c>
      <c r="E21" s="133">
        <f>D_T02!G21</f>
        <v>400</v>
      </c>
      <c r="F21" s="205">
        <f>E21-E22</f>
        <v>325</v>
      </c>
      <c r="G21" s="206">
        <f>D75</f>
        <v>0.10312926159551063</v>
      </c>
      <c r="H21" s="202">
        <f t="shared" si="0"/>
        <v>33.517010018540951</v>
      </c>
      <c r="I21" s="136">
        <f>D36</f>
        <v>0.14000000000000001</v>
      </c>
      <c r="J21" s="124">
        <f t="shared" si="1"/>
        <v>45.500000000000007</v>
      </c>
      <c r="K21" s="201"/>
      <c r="L21" s="202"/>
      <c r="M21" s="133"/>
      <c r="N21" s="203"/>
      <c r="O21" s="338"/>
      <c r="P21" s="203"/>
      <c r="Q21" s="338"/>
      <c r="R21" s="203"/>
      <c r="S21" s="339"/>
      <c r="T21" s="203"/>
    </row>
    <row r="22" spans="2:20" ht="15" customHeight="1" x14ac:dyDescent="0.35">
      <c r="B22" s="275">
        <v>15</v>
      </c>
      <c r="C22" s="225" t="str">
        <f>D_T02!B22</f>
        <v xml:space="preserve">        Window 5 – Vinyl Frame Low-e Double</v>
      </c>
      <c r="D22" s="53" t="s">
        <v>37</v>
      </c>
      <c r="E22" s="207">
        <f>D_T02!G22</f>
        <v>75</v>
      </c>
      <c r="F22" s="208">
        <f>E22</f>
        <v>75</v>
      </c>
      <c r="G22" s="209">
        <f>D_T02!E22</f>
        <v>0.27</v>
      </c>
      <c r="H22" s="204">
        <f t="shared" si="0"/>
        <v>20.25</v>
      </c>
      <c r="I22" s="125">
        <f>D41</f>
        <v>0.4</v>
      </c>
      <c r="J22" s="210">
        <f t="shared" si="1"/>
        <v>30</v>
      </c>
      <c r="K22" s="201">
        <f>IF(E22&lt;=Selections!$C$33,0,E22)</f>
        <v>75</v>
      </c>
      <c r="L22" s="204">
        <f>E22</f>
        <v>75</v>
      </c>
      <c r="M22" s="136">
        <f>$G22</f>
        <v>0.27</v>
      </c>
      <c r="N22" s="202">
        <f>K22*M22</f>
        <v>20.25</v>
      </c>
      <c r="O22" s="339">
        <f>$G22</f>
        <v>0.27</v>
      </c>
      <c r="P22" s="202">
        <f>O22*L22</f>
        <v>20.25</v>
      </c>
      <c r="Q22" s="339">
        <f>D_T02!F22</f>
        <v>0.17</v>
      </c>
      <c r="R22" s="202">
        <f>K22*Q22</f>
        <v>12.750000000000002</v>
      </c>
      <c r="S22" s="339">
        <f t="shared" si="2"/>
        <v>0.17</v>
      </c>
      <c r="T22" s="202">
        <f>S22*L22</f>
        <v>12.750000000000002</v>
      </c>
    </row>
    <row r="23" spans="2:20" ht="3.75" customHeight="1" x14ac:dyDescent="0.35">
      <c r="B23" s="316"/>
      <c r="C23" s="277"/>
      <c r="D23" s="55"/>
      <c r="E23" s="317"/>
      <c r="F23" s="56"/>
      <c r="G23" s="55"/>
      <c r="H23" s="56"/>
      <c r="I23" s="317"/>
      <c r="J23" s="317"/>
      <c r="K23" s="55"/>
      <c r="L23" s="56"/>
      <c r="M23" s="330"/>
      <c r="N23" s="58"/>
      <c r="O23" s="277"/>
      <c r="P23" s="58"/>
      <c r="Q23" s="277"/>
      <c r="R23" s="58"/>
      <c r="S23" s="277"/>
      <c r="T23" s="58"/>
    </row>
    <row r="24" spans="2:20" ht="15.5" x14ac:dyDescent="0.35">
      <c r="B24" s="328"/>
      <c r="C24" s="329" t="s">
        <v>134</v>
      </c>
      <c r="D24" s="61"/>
      <c r="E24" s="330"/>
      <c r="F24" s="58"/>
      <c r="G24" s="459"/>
      <c r="H24" s="453">
        <f>SUM(H10:H22)</f>
        <v>371.68711623301391</v>
      </c>
      <c r="I24" s="460"/>
      <c r="J24" s="455">
        <f>SUM(J10:J22)</f>
        <v>400.12</v>
      </c>
      <c r="K24" s="456">
        <f>SUM(K10:K22)</f>
        <v>295</v>
      </c>
      <c r="L24" s="453">
        <f>SUM(L10:L22)</f>
        <v>334</v>
      </c>
      <c r="M24" s="457">
        <f>N24/K24</f>
        <v>0.38711864406779661</v>
      </c>
      <c r="N24" s="453">
        <f>SUM(N10:N22)</f>
        <v>114.2</v>
      </c>
      <c r="O24" s="458">
        <f>P24/L24</f>
        <v>0.45329341317365279</v>
      </c>
      <c r="P24" s="453">
        <f>SUM(P10:P22)</f>
        <v>151.40000000000003</v>
      </c>
      <c r="Q24" s="458">
        <f>R24/K24</f>
        <v>0.2464406779661017</v>
      </c>
      <c r="R24" s="453">
        <f>SUM(R10:R22)</f>
        <v>72.7</v>
      </c>
      <c r="S24" s="458">
        <f>T24/(L24-L13)</f>
        <v>0.27322580645161293</v>
      </c>
      <c r="T24" s="453">
        <f>SUM(T10:T22)</f>
        <v>84.7</v>
      </c>
    </row>
    <row r="25" spans="2:20" ht="9.75" customHeight="1" x14ac:dyDescent="0.35">
      <c r="B25" s="335"/>
      <c r="C25" s="336"/>
      <c r="D25" s="64"/>
      <c r="E25" s="64"/>
      <c r="F25" s="64"/>
      <c r="G25" s="64"/>
      <c r="H25" s="65"/>
      <c r="I25" s="66"/>
      <c r="J25" s="65"/>
      <c r="K25" s="65"/>
      <c r="L25" s="65"/>
      <c r="M25" s="67"/>
      <c r="N25" s="65"/>
      <c r="O25" s="67"/>
      <c r="P25" s="65"/>
      <c r="Q25" s="67"/>
      <c r="R25" s="65"/>
      <c r="S25" s="67"/>
      <c r="T25" s="65"/>
    </row>
    <row r="26" spans="2:20" ht="45" customHeight="1" x14ac:dyDescent="0.35">
      <c r="B26" s="335"/>
      <c r="C26" s="212" t="str">
        <f>Selections!B25</f>
        <v>UA allowed deviation range in %</v>
      </c>
      <c r="D26" s="221">
        <f>Selections!C25</f>
        <v>0.02</v>
      </c>
      <c r="E26" s="320"/>
      <c r="G26" s="261" t="s">
        <v>136</v>
      </c>
      <c r="H26" s="144" t="s">
        <v>231</v>
      </c>
      <c r="J26" s="144" t="s">
        <v>230</v>
      </c>
      <c r="M26" s="144" t="s">
        <v>229</v>
      </c>
      <c r="N26" s="144" t="s">
        <v>231</v>
      </c>
      <c r="O26" s="144" t="s">
        <v>229</v>
      </c>
      <c r="P26" s="144" t="s">
        <v>231</v>
      </c>
      <c r="Q26" s="144" t="s">
        <v>232</v>
      </c>
      <c r="R26" s="144" t="s">
        <v>233</v>
      </c>
      <c r="S26" s="144" t="s">
        <v>232</v>
      </c>
      <c r="T26" s="144" t="s">
        <v>233</v>
      </c>
    </row>
    <row r="27" spans="2:20" x14ac:dyDescent="0.35">
      <c r="C27" s="212" t="str">
        <f>Selections!B26</f>
        <v>U-Factor allowed deviation range absolute</v>
      </c>
      <c r="D27" s="222">
        <f>Selections!C26</f>
        <v>5.0000000000000001E-3</v>
      </c>
      <c r="G27" s="261" t="s">
        <v>138</v>
      </c>
      <c r="H27" s="211">
        <f>H24-(H24*$D$26)</f>
        <v>364.25337390835364</v>
      </c>
      <c r="J27" s="211">
        <f>J24-(J24*$D$26)</f>
        <v>392.11759999999998</v>
      </c>
      <c r="K27" s="212"/>
      <c r="L27" s="212"/>
      <c r="M27" s="213">
        <f>M$24-$D$27</f>
        <v>0.38211864406779661</v>
      </c>
      <c r="N27" s="214">
        <f>N$24-$D$26*N$24</f>
        <v>111.916</v>
      </c>
      <c r="O27" s="215">
        <f>O$24-$D$27</f>
        <v>0.44829341317365279</v>
      </c>
      <c r="P27" s="214">
        <f>P$24-$D$26*P$24</f>
        <v>148.37200000000004</v>
      </c>
      <c r="Q27" s="215">
        <f>Q$24-$D$28</f>
        <v>0.24144067796610169</v>
      </c>
      <c r="R27" s="214">
        <f>R$24-$D$26*R$24</f>
        <v>71.246000000000009</v>
      </c>
      <c r="S27" s="215">
        <f>S$24-$D$28</f>
        <v>0.26822580645161292</v>
      </c>
      <c r="T27" s="214">
        <f>T$24-$D$26*T$24</f>
        <v>83.006</v>
      </c>
    </row>
    <row r="28" spans="2:20" x14ac:dyDescent="0.35">
      <c r="C28" s="212" t="str">
        <f>Selections!B27</f>
        <v>SHGC allowed deviation range absolute</v>
      </c>
      <c r="D28" s="222">
        <f>Selections!C27</f>
        <v>5.0000000000000001E-3</v>
      </c>
      <c r="G28" s="261" t="s">
        <v>140</v>
      </c>
      <c r="H28" s="211">
        <f>H24*(1+$D$26)</f>
        <v>379.12085855767418</v>
      </c>
      <c r="J28" s="211">
        <f>J24*(1+$D$26)</f>
        <v>408.12240000000003</v>
      </c>
      <c r="K28" s="212"/>
      <c r="L28" s="212"/>
      <c r="M28" s="213">
        <f>M$24+$D$27</f>
        <v>0.39211864406779662</v>
      </c>
      <c r="N28" s="214">
        <f>N$24+$D$26*N$24</f>
        <v>116.48400000000001</v>
      </c>
      <c r="O28" s="215">
        <f>O$24+$D$28</f>
        <v>0.4582934131736528</v>
      </c>
      <c r="P28" s="214">
        <f>P$24+$D$26*P$24</f>
        <v>154.42800000000003</v>
      </c>
      <c r="Q28" s="215">
        <f>Q$24+$D$28</f>
        <v>0.2514406779661017</v>
      </c>
      <c r="R28" s="214">
        <f>R$24+$D$26*R$24</f>
        <v>74.153999999999996</v>
      </c>
      <c r="S28" s="215">
        <f>S$24+$D$28</f>
        <v>0.27822580645161293</v>
      </c>
      <c r="T28" s="214">
        <f>T$24+$D$26*T$24</f>
        <v>86.394000000000005</v>
      </c>
    </row>
    <row r="29" spans="2:20" x14ac:dyDescent="0.35">
      <c r="D29" s="261"/>
      <c r="G29" s="261"/>
      <c r="I29" s="342"/>
      <c r="J29" s="342"/>
      <c r="M29" s="260"/>
      <c r="N29" s="259"/>
      <c r="O29" s="73"/>
      <c r="P29" s="259"/>
      <c r="Q29" s="73"/>
      <c r="R29" s="259"/>
      <c r="S29" s="73"/>
      <c r="T29" s="259"/>
    </row>
    <row r="30" spans="2:20" ht="13.5" customHeight="1" x14ac:dyDescent="0.35">
      <c r="B30" s="305" t="s">
        <v>241</v>
      </c>
      <c r="G30" s="305" t="s">
        <v>425</v>
      </c>
      <c r="H30" s="449">
        <f>SUM(H14,H16,H18,H20,H22+H11)</f>
        <v>132.19999999999999</v>
      </c>
    </row>
    <row r="31" spans="2:20" ht="19.5" customHeight="1" x14ac:dyDescent="0.35">
      <c r="B31" s="239" t="s">
        <v>259</v>
      </c>
      <c r="C31" s="329"/>
      <c r="D31" s="240"/>
      <c r="E31" s="64"/>
      <c r="F31" s="64"/>
      <c r="G31" s="64" t="s">
        <v>427</v>
      </c>
      <c r="H31" s="461">
        <f>1*H13</f>
        <v>19.200000000000003</v>
      </c>
      <c r="I31" s="259"/>
      <c r="J31" s="259"/>
      <c r="K31" s="259"/>
      <c r="L31" s="259"/>
      <c r="M31" s="73"/>
      <c r="N31" s="259"/>
      <c r="O31" s="73"/>
      <c r="P31" s="259"/>
      <c r="Q31" s="73"/>
      <c r="R31" s="259"/>
      <c r="S31" s="73"/>
      <c r="T31" s="259"/>
    </row>
    <row r="32" spans="2:20" ht="43.5" customHeight="1" x14ac:dyDescent="0.35">
      <c r="B32" s="276"/>
      <c r="C32" s="299" t="s">
        <v>141</v>
      </c>
      <c r="D32" s="281" t="s">
        <v>234</v>
      </c>
      <c r="F32" s="320"/>
      <c r="G32" s="320" t="s">
        <v>426</v>
      </c>
      <c r="H32" s="471">
        <f>SUM(H12,H15,H17,H19,H21)</f>
        <v>151.56824660869506</v>
      </c>
    </row>
    <row r="33" spans="2:8" x14ac:dyDescent="0.35">
      <c r="B33" s="303">
        <v>1</v>
      </c>
      <c r="C33" s="282" t="s">
        <v>30</v>
      </c>
      <c r="D33" s="410">
        <v>6.4000000000000001E-2</v>
      </c>
      <c r="G33" s="305" t="s">
        <v>428</v>
      </c>
      <c r="H33" s="449">
        <f>H8</f>
        <v>0</v>
      </c>
    </row>
    <row r="34" spans="2:8" x14ac:dyDescent="0.35">
      <c r="B34" s="262">
        <v>2</v>
      </c>
      <c r="C34" s="283" t="s">
        <v>33</v>
      </c>
      <c r="D34" s="411"/>
      <c r="G34" s="305" t="s">
        <v>34</v>
      </c>
      <c r="H34" s="449">
        <f>H10</f>
        <v>68.718869624318856</v>
      </c>
    </row>
    <row r="35" spans="2:8" x14ac:dyDescent="0.35">
      <c r="B35" s="262">
        <v>3</v>
      </c>
      <c r="C35" s="283" t="s">
        <v>416</v>
      </c>
      <c r="D35" s="411">
        <v>0.03</v>
      </c>
    </row>
    <row r="36" spans="2:8" x14ac:dyDescent="0.35">
      <c r="B36" s="262">
        <v>4</v>
      </c>
      <c r="C36" s="283" t="s">
        <v>143</v>
      </c>
      <c r="D36" s="412">
        <v>0.14000000000000001</v>
      </c>
    </row>
    <row r="37" spans="2:8" x14ac:dyDescent="0.35">
      <c r="B37" s="262">
        <v>5</v>
      </c>
      <c r="C37" s="283" t="s">
        <v>144</v>
      </c>
      <c r="D37" s="411">
        <v>8.2000000000000003E-2</v>
      </c>
    </row>
    <row r="38" spans="2:8" x14ac:dyDescent="0.35">
      <c r="B38" s="262">
        <v>6</v>
      </c>
      <c r="C38" s="283" t="s">
        <v>35</v>
      </c>
      <c r="D38" s="313">
        <v>0.65</v>
      </c>
    </row>
    <row r="39" spans="2:8" x14ac:dyDescent="0.35">
      <c r="B39" s="262">
        <v>7</v>
      </c>
      <c r="C39" s="283" t="s">
        <v>38</v>
      </c>
      <c r="D39" s="313">
        <v>0.4</v>
      </c>
    </row>
    <row r="40" spans="2:8" x14ac:dyDescent="0.35">
      <c r="B40" s="262">
        <v>8</v>
      </c>
      <c r="C40" s="283" t="s">
        <v>385</v>
      </c>
      <c r="D40" s="313">
        <v>0.4</v>
      </c>
    </row>
    <row r="41" spans="2:8" x14ac:dyDescent="0.35">
      <c r="B41" s="262">
        <v>9</v>
      </c>
      <c r="C41" s="283" t="s">
        <v>145</v>
      </c>
      <c r="D41" s="313">
        <v>0.4</v>
      </c>
    </row>
    <row r="42" spans="2:8" x14ac:dyDescent="0.35">
      <c r="B42" s="275">
        <v>10</v>
      </c>
      <c r="C42" s="284" t="s">
        <v>386</v>
      </c>
      <c r="D42" s="409">
        <v>0.4</v>
      </c>
    </row>
    <row r="43" spans="2:8" ht="13.5" customHeight="1" x14ac:dyDescent="0.35">
      <c r="B43" s="263"/>
    </row>
    <row r="44" spans="2:8" ht="13.5" customHeight="1" x14ac:dyDescent="0.35">
      <c r="B44" s="263"/>
    </row>
    <row r="45" spans="2:8" ht="30.75" customHeight="1" x14ac:dyDescent="0.35">
      <c r="B45" s="495" t="s">
        <v>436</v>
      </c>
      <c r="C45" s="257" t="s">
        <v>437</v>
      </c>
    </row>
    <row r="46" spans="2:8" ht="31.5" customHeight="1" x14ac:dyDescent="0.35">
      <c r="B46" s="316"/>
      <c r="C46" s="270" t="s">
        <v>146</v>
      </c>
      <c r="D46" s="288" t="s">
        <v>147</v>
      </c>
      <c r="E46" s="270" t="s">
        <v>148</v>
      </c>
      <c r="F46" s="277" t="s">
        <v>142</v>
      </c>
      <c r="G46" s="330"/>
      <c r="H46" s="343"/>
    </row>
    <row r="47" spans="2:8" x14ac:dyDescent="0.35">
      <c r="B47" s="316"/>
      <c r="C47" s="333" t="s">
        <v>442</v>
      </c>
      <c r="D47" s="123">
        <f>1-D_T02!C50</f>
        <v>0.92999999999999994</v>
      </c>
      <c r="E47" s="139">
        <f>D_T02!C50</f>
        <v>7.0000000000000007E-2</v>
      </c>
      <c r="G47" s="320"/>
      <c r="H47" s="321"/>
    </row>
    <row r="48" spans="2:8" x14ac:dyDescent="0.35">
      <c r="B48" s="262">
        <v>1</v>
      </c>
      <c r="C48" s="237" t="str">
        <f>D_T02!B53</f>
        <v>Roof outside film R-Value</v>
      </c>
      <c r="D48" s="487">
        <f>D_T02!C53</f>
        <v>0.25</v>
      </c>
      <c r="E48" s="487">
        <f>D_T02!C53</f>
        <v>0.25</v>
      </c>
      <c r="G48" s="320"/>
      <c r="H48" s="321"/>
    </row>
    <row r="49" spans="2:10" x14ac:dyDescent="0.35">
      <c r="B49" s="262">
        <v>2</v>
      </c>
      <c r="C49" s="237" t="str">
        <f>D_T02!B54</f>
        <v>Roof Skin R-Value</v>
      </c>
      <c r="D49" s="487">
        <f>D_T02!C54</f>
        <v>1.25</v>
      </c>
      <c r="E49" s="487">
        <f>D_T02!C54</f>
        <v>1.25</v>
      </c>
      <c r="G49" s="320"/>
      <c r="H49" s="321"/>
    </row>
    <row r="50" spans="2:10" x14ac:dyDescent="0.35">
      <c r="B50" s="262">
        <v>3</v>
      </c>
      <c r="C50" s="237" t="str">
        <f>D_T02!B55</f>
        <v>Roof Inside Film Slope Down R-Value</v>
      </c>
      <c r="D50" s="487">
        <f>D_T02!C55</f>
        <v>0.76</v>
      </c>
      <c r="E50" s="487">
        <f>D_T02!C55</f>
        <v>0.76</v>
      </c>
      <c r="G50" s="320"/>
      <c r="H50" s="321"/>
    </row>
    <row r="51" spans="2:10" ht="15.75" customHeight="1" x14ac:dyDescent="0.35">
      <c r="B51" s="262">
        <v>4</v>
      </c>
      <c r="C51" s="237" t="str">
        <f>D_T02!B56</f>
        <v>Attic Air film</v>
      </c>
      <c r="D51" s="298">
        <f>D_T02!C56</f>
        <v>0.61</v>
      </c>
      <c r="E51" s="140">
        <f>D_T02!C56</f>
        <v>0.61</v>
      </c>
      <c r="F51" s="292"/>
      <c r="G51" s="320"/>
      <c r="H51" s="321"/>
    </row>
    <row r="52" spans="2:10" ht="15.75" customHeight="1" x14ac:dyDescent="0.35">
      <c r="B52" s="494">
        <v>5</v>
      </c>
      <c r="C52" s="493" t="str">
        <f>D_T02!B57</f>
        <v>Batt Insulation R38</v>
      </c>
      <c r="D52" s="490">
        <f>D_T02!C57</f>
        <v>38</v>
      </c>
      <c r="E52" s="491">
        <v>0</v>
      </c>
      <c r="F52" s="508" t="s">
        <v>435</v>
      </c>
      <c r="G52" s="509"/>
      <c r="H52" s="510"/>
    </row>
    <row r="53" spans="2:10" ht="15.75" customHeight="1" x14ac:dyDescent="0.35">
      <c r="B53" s="494">
        <v>6</v>
      </c>
      <c r="C53" s="493" t="str">
        <f>D_T02!B58</f>
        <v>Wood Stud 2 x 4: Nominal</v>
      </c>
      <c r="D53" s="490">
        <v>0</v>
      </c>
      <c r="E53" s="492">
        <f>D_T02!C58</f>
        <v>4.38</v>
      </c>
      <c r="F53" s="508"/>
      <c r="G53" s="509"/>
      <c r="H53" s="510"/>
    </row>
    <row r="54" spans="2:10" ht="15.75" customHeight="1" x14ac:dyDescent="0.35">
      <c r="B54" s="262"/>
      <c r="C54" s="237" t="s">
        <v>434</v>
      </c>
      <c r="D54" s="298">
        <f>1/($D47/($D52+$D53)+$E47/($E52+$E53))</f>
        <v>24.718567142899577</v>
      </c>
      <c r="E54" s="298">
        <f>1/($D47/($D52+$D53)+$E47/($E52+$E53))</f>
        <v>24.718567142899577</v>
      </c>
      <c r="F54" s="306"/>
      <c r="G54" s="320"/>
      <c r="H54" s="321"/>
    </row>
    <row r="55" spans="2:10" ht="15.75" customHeight="1" x14ac:dyDescent="0.35">
      <c r="B55" s="262">
        <v>4</v>
      </c>
      <c r="C55" s="237" t="str">
        <f>D_T02!B59</f>
        <v xml:space="preserve">0.5 Inch Drywall </v>
      </c>
      <c r="D55" s="298">
        <f>D_T02!C59</f>
        <v>0.45</v>
      </c>
      <c r="E55" s="140">
        <f>D_T02!C59</f>
        <v>0.45</v>
      </c>
      <c r="F55" s="306"/>
      <c r="G55" s="320"/>
      <c r="H55" s="321"/>
    </row>
    <row r="56" spans="2:10" ht="15.75" customHeight="1" x14ac:dyDescent="0.35">
      <c r="B56" s="262">
        <v>5</v>
      </c>
      <c r="C56" s="237" t="str">
        <f>D_T02!B60</f>
        <v>Indoor Air film</v>
      </c>
      <c r="D56" s="298">
        <f>D_T02!C60</f>
        <v>0.92</v>
      </c>
      <c r="E56" s="140">
        <f>D_T02!C60</f>
        <v>0.92</v>
      </c>
      <c r="F56" s="306"/>
      <c r="G56" s="320"/>
      <c r="H56" s="321"/>
    </row>
    <row r="57" spans="2:10" ht="15.75" customHeight="1" x14ac:dyDescent="0.35">
      <c r="B57" s="262"/>
      <c r="C57" s="319" t="s">
        <v>429</v>
      </c>
      <c r="D57" s="298">
        <f>SUM(D48:D51,D54,D55:D56)</f>
        <v>28.958567142899579</v>
      </c>
      <c r="E57" s="298">
        <f>SUM(E48:E51,E54,E55:E56)</f>
        <v>28.958567142899579</v>
      </c>
      <c r="F57" s="306"/>
      <c r="G57" s="320"/>
      <c r="H57" s="321"/>
    </row>
    <row r="58" spans="2:10" ht="15.75" customHeight="1" x14ac:dyDescent="0.35">
      <c r="B58" s="479"/>
      <c r="C58" s="480" t="s">
        <v>430</v>
      </c>
      <c r="D58" s="481">
        <f>IF(D57&gt;0, 1/D57, 0)</f>
        <v>3.4532095288602439E-2</v>
      </c>
      <c r="E58" s="482">
        <f>IF(E57&gt;0, 1/E57, 0)</f>
        <v>3.4532095288602439E-2</v>
      </c>
      <c r="F58" s="483"/>
      <c r="G58" s="484"/>
      <c r="H58" s="485"/>
    </row>
    <row r="59" spans="2:10" ht="18" customHeight="1" x14ac:dyDescent="0.35">
      <c r="B59" s="262"/>
      <c r="C59" s="327" t="s">
        <v>160</v>
      </c>
      <c r="D59" s="118">
        <f>IF(D58=E58,D58,0)</f>
        <v>3.4532095288602439E-2</v>
      </c>
      <c r="E59" s="321"/>
      <c r="F59" s="306" t="s">
        <v>81</v>
      </c>
      <c r="G59" s="320"/>
      <c r="H59" s="321"/>
      <c r="J59" s="305" t="s">
        <v>438</v>
      </c>
    </row>
    <row r="60" spans="2:10" ht="18" customHeight="1" x14ac:dyDescent="0.35">
      <c r="B60" s="275"/>
      <c r="C60" s="323" t="s">
        <v>161</v>
      </c>
      <c r="D60" s="489">
        <f>IF(D59&gt;0,1/D59,0)</f>
        <v>28.958567142899579</v>
      </c>
      <c r="E60" s="325"/>
      <c r="F60" s="322"/>
      <c r="G60" s="324"/>
      <c r="H60" s="325"/>
    </row>
    <row r="61" spans="2:10" x14ac:dyDescent="0.35">
      <c r="B61" s="261"/>
      <c r="F61" s="320"/>
      <c r="G61" s="320"/>
      <c r="H61" s="320"/>
    </row>
    <row r="62" spans="2:10" x14ac:dyDescent="0.35">
      <c r="B62" s="261"/>
      <c r="F62" s="320"/>
      <c r="G62" s="320"/>
      <c r="H62" s="320"/>
    </row>
    <row r="63" spans="2:10" x14ac:dyDescent="0.35">
      <c r="B63" s="261"/>
      <c r="F63" s="320"/>
      <c r="G63" s="320"/>
      <c r="H63" s="320"/>
    </row>
    <row r="64" spans="2:10" ht="33.75" customHeight="1" x14ac:dyDescent="0.35">
      <c r="B64" s="261" t="s">
        <v>36</v>
      </c>
      <c r="C64" s="257" t="s">
        <v>380</v>
      </c>
      <c r="F64" s="320"/>
      <c r="G64" s="320"/>
      <c r="H64" s="320"/>
    </row>
    <row r="65" spans="2:8" ht="29.25" customHeight="1" x14ac:dyDescent="0.35">
      <c r="B65" s="277"/>
      <c r="C65" s="269" t="s">
        <v>146</v>
      </c>
      <c r="D65" s="270" t="s">
        <v>212</v>
      </c>
      <c r="E65" s="268"/>
      <c r="F65" s="277" t="s">
        <v>142</v>
      </c>
      <c r="G65" s="330"/>
      <c r="H65" s="343"/>
    </row>
    <row r="66" spans="2:8" x14ac:dyDescent="0.35">
      <c r="B66" s="303">
        <v>1</v>
      </c>
      <c r="C66" s="227" t="str">
        <f>D_T02!B67</f>
        <v>Outside Air Film (7.5 mph wind, Summer)</v>
      </c>
      <c r="D66" s="117">
        <f>D_T02!C67</f>
        <v>0.25</v>
      </c>
      <c r="E66" s="304"/>
      <c r="G66" s="320"/>
      <c r="H66" s="321"/>
    </row>
    <row r="67" spans="2:8" x14ac:dyDescent="0.35">
      <c r="B67" s="262">
        <v>2</v>
      </c>
      <c r="C67" s="237" t="str">
        <f>D_T02!B68</f>
        <v>Stucco (0.8 Inch thick, conductivity=9.7 Btu-in/h-ft2-°F)</v>
      </c>
      <c r="D67" s="118">
        <f>D_T02!C68</f>
        <v>8.2474226804123724E-2</v>
      </c>
      <c r="E67" s="321"/>
      <c r="F67" s="306"/>
      <c r="G67" s="320"/>
      <c r="H67" s="321"/>
    </row>
    <row r="68" spans="2:8" x14ac:dyDescent="0.35">
      <c r="B68" s="262">
        <v>3</v>
      </c>
      <c r="C68" s="237" t="str">
        <f>D_T02!B69</f>
        <v>lathe</v>
      </c>
      <c r="D68" s="119">
        <f>D_T02!C69</f>
        <v>0</v>
      </c>
      <c r="E68" s="321"/>
      <c r="F68" s="306"/>
      <c r="G68" s="320"/>
      <c r="H68" s="321"/>
    </row>
    <row r="69" spans="2:8" x14ac:dyDescent="0.35">
      <c r="B69" s="262">
        <v>4</v>
      </c>
      <c r="C69" s="237" t="str">
        <f>D_T02!B70</f>
        <v>8 Inch Hollow Concrete Block (Normal Density)</v>
      </c>
      <c r="D69" s="298">
        <f>D_T02!C109</f>
        <v>1.0140947636940258</v>
      </c>
      <c r="E69" s="321"/>
      <c r="F69" s="306"/>
      <c r="G69" s="320"/>
      <c r="H69" s="321"/>
    </row>
    <row r="70" spans="2:8" x14ac:dyDescent="0.35">
      <c r="B70" s="262">
        <v>5</v>
      </c>
      <c r="C70" s="237" t="str">
        <f>D_T02!B71</f>
        <v>1 Inch R6 Insulation Board</v>
      </c>
      <c r="D70" s="119">
        <f>D_T02!C71</f>
        <v>6</v>
      </c>
      <c r="E70" s="321"/>
      <c r="F70" s="306"/>
      <c r="G70" s="320"/>
      <c r="H70" s="321"/>
    </row>
    <row r="71" spans="2:8" x14ac:dyDescent="0.35">
      <c r="B71" s="262">
        <v>6</v>
      </c>
      <c r="C71" s="237" t="str">
        <f>D_T02!B72</f>
        <v>0.75 Inch Air Space with Furring at 16" on center</v>
      </c>
      <c r="D71" s="120">
        <f>D_T02!C72</f>
        <v>1.22</v>
      </c>
      <c r="E71" s="321"/>
      <c r="F71" s="306"/>
      <c r="G71" s="320"/>
      <c r="H71" s="321"/>
    </row>
    <row r="72" spans="2:8" x14ac:dyDescent="0.35">
      <c r="B72" s="262">
        <v>7</v>
      </c>
      <c r="C72" s="237" t="str">
        <f>D_T02!B73</f>
        <v xml:space="preserve">0.5 Inch Drywall </v>
      </c>
      <c r="D72" s="120">
        <f>D_T02!C73</f>
        <v>0.45</v>
      </c>
      <c r="E72" s="321"/>
      <c r="F72" s="306"/>
      <c r="G72" s="320"/>
      <c r="H72" s="321"/>
    </row>
    <row r="73" spans="2:8" x14ac:dyDescent="0.35">
      <c r="B73" s="275">
        <v>8</v>
      </c>
      <c r="C73" s="238" t="str">
        <f>D_T02!B74</f>
        <v>Indoor Air Film</v>
      </c>
      <c r="D73" s="121">
        <f>D_T02!C74</f>
        <v>0.68</v>
      </c>
      <c r="E73" s="325"/>
      <c r="F73" s="306"/>
      <c r="G73" s="320"/>
      <c r="H73" s="321"/>
    </row>
    <row r="74" spans="2:8" ht="17.25" customHeight="1" x14ac:dyDescent="0.35">
      <c r="B74" s="262"/>
      <c r="C74" s="319" t="s">
        <v>161</v>
      </c>
      <c r="D74" s="298">
        <f>SUM(D66:D73)</f>
        <v>9.6965689904981485</v>
      </c>
      <c r="E74" s="321"/>
      <c r="F74" s="306" t="s">
        <v>118</v>
      </c>
      <c r="G74" s="320"/>
      <c r="H74" s="321"/>
    </row>
    <row r="75" spans="2:8" ht="20.25" customHeight="1" x14ac:dyDescent="0.35">
      <c r="B75" s="275"/>
      <c r="C75" s="323" t="s">
        <v>160</v>
      </c>
      <c r="D75" s="122">
        <f>1/D74</f>
        <v>0.10312926159551063</v>
      </c>
      <c r="E75" s="325"/>
      <c r="F75" s="322"/>
      <c r="G75" s="324"/>
      <c r="H75" s="325"/>
    </row>
    <row r="76" spans="2:8" ht="18" customHeight="1" x14ac:dyDescent="0.35">
      <c r="F76" s="320"/>
      <c r="G76" s="320"/>
      <c r="H76" s="320"/>
    </row>
    <row r="77" spans="2:8" ht="18" customHeight="1" x14ac:dyDescent="0.35">
      <c r="F77" s="320"/>
      <c r="G77" s="320"/>
      <c r="H77" s="320"/>
    </row>
    <row r="78" spans="2:8" ht="35.25" customHeight="1" x14ac:dyDescent="0.35">
      <c r="B78" s="305" t="s">
        <v>36</v>
      </c>
      <c r="C78" s="257" t="s">
        <v>239</v>
      </c>
      <c r="F78" s="320"/>
      <c r="G78" s="320"/>
      <c r="H78" s="320"/>
    </row>
    <row r="79" spans="2:8" ht="33" customHeight="1" x14ac:dyDescent="0.35">
      <c r="B79" s="277"/>
      <c r="C79" s="269" t="s">
        <v>146</v>
      </c>
      <c r="D79" s="288" t="s">
        <v>147</v>
      </c>
      <c r="E79" s="270" t="s">
        <v>148</v>
      </c>
      <c r="F79" s="277" t="s">
        <v>142</v>
      </c>
      <c r="G79" s="330"/>
      <c r="H79" s="343"/>
    </row>
    <row r="80" spans="2:8" x14ac:dyDescent="0.35">
      <c r="B80" s="316"/>
      <c r="C80" s="294" t="s">
        <v>150</v>
      </c>
      <c r="D80" s="132">
        <f>1-D_T02!C79</f>
        <v>0.75</v>
      </c>
      <c r="E80" s="123">
        <f>D_T02!C79</f>
        <v>0.25</v>
      </c>
      <c r="G80" s="320"/>
      <c r="H80" s="321"/>
    </row>
    <row r="81" spans="2:8" x14ac:dyDescent="0.35">
      <c r="B81" s="262">
        <v>1</v>
      </c>
      <c r="C81" s="237" t="str">
        <f>D_T02!B83</f>
        <v>Outside Air Film (7.5 mph wind, Summer)</v>
      </c>
      <c r="D81" s="338">
        <f>D_T02!C83</f>
        <v>0.25</v>
      </c>
      <c r="E81" s="120">
        <f>D_T02!C83</f>
        <v>0.25</v>
      </c>
      <c r="F81" s="306"/>
      <c r="G81" s="320"/>
      <c r="H81" s="321"/>
    </row>
    <row r="82" spans="2:8" x14ac:dyDescent="0.35">
      <c r="B82" s="262">
        <v>2</v>
      </c>
      <c r="C82" s="237" t="str">
        <f>D_T02!B84</f>
        <v>Stucco (0.8 Inch thick, conductivity=9.7 Btu-in/h-ft2-°F)</v>
      </c>
      <c r="D82" s="118">
        <f>D_T02!C84</f>
        <v>8.2474226804123724E-2</v>
      </c>
      <c r="E82" s="118">
        <f>D_T02!C84</f>
        <v>8.2474226804123724E-2</v>
      </c>
      <c r="F82" s="306"/>
      <c r="G82" s="320"/>
      <c r="H82" s="321"/>
    </row>
    <row r="83" spans="2:8" x14ac:dyDescent="0.35">
      <c r="B83" s="262">
        <v>3</v>
      </c>
      <c r="C83" s="237" t="str">
        <f>D_T02!B85</f>
        <v>0.5 Inch Plywood Exterior</v>
      </c>
      <c r="D83" s="135">
        <f>D_T02!C85</f>
        <v>0.79</v>
      </c>
      <c r="E83" s="298">
        <f>D_T02!C85</f>
        <v>0.79</v>
      </c>
      <c r="F83" s="306"/>
      <c r="G83" s="320"/>
      <c r="H83" s="321"/>
    </row>
    <row r="84" spans="2:8" x14ac:dyDescent="0.35">
      <c r="B84" s="262">
        <v>4</v>
      </c>
      <c r="C84" s="237" t="str">
        <f>D_T02!B86</f>
        <v>Wood Stud 2 x 4: Nominal</v>
      </c>
      <c r="D84" s="135">
        <v>0</v>
      </c>
      <c r="E84" s="298">
        <f>D_T02!C86</f>
        <v>4.38</v>
      </c>
      <c r="F84" s="306"/>
      <c r="G84" s="320"/>
      <c r="H84" s="321"/>
    </row>
    <row r="85" spans="2:8" x14ac:dyDescent="0.35">
      <c r="B85" s="262">
        <v>5</v>
      </c>
      <c r="C85" s="237" t="str">
        <f>D_T02!B87</f>
        <v>Fiber Glass Batt Insulation R13</v>
      </c>
      <c r="D85" s="135">
        <f>D_T02!C87</f>
        <v>13</v>
      </c>
      <c r="E85" s="119">
        <v>0</v>
      </c>
      <c r="F85" s="306"/>
      <c r="G85" s="320"/>
      <c r="H85" s="321"/>
    </row>
    <row r="86" spans="2:8" x14ac:dyDescent="0.35">
      <c r="B86" s="262">
        <v>6</v>
      </c>
      <c r="C86" s="237" t="str">
        <f>D_T02!B88</f>
        <v xml:space="preserve">0.5 Inch Drywall </v>
      </c>
      <c r="D86" s="338">
        <f>D_T02!C88</f>
        <v>0.45</v>
      </c>
      <c r="E86" s="120">
        <f>D_T02!C88</f>
        <v>0.45</v>
      </c>
      <c r="F86" s="306"/>
      <c r="G86" s="320"/>
      <c r="H86" s="321"/>
    </row>
    <row r="87" spans="2:8" x14ac:dyDescent="0.35">
      <c r="B87" s="262">
        <v>7</v>
      </c>
      <c r="C87" s="237" t="str">
        <f>D_T02!B89</f>
        <v>Indoor Air Film</v>
      </c>
      <c r="D87" s="338">
        <f>D_T02!C89</f>
        <v>0.68</v>
      </c>
      <c r="E87" s="120">
        <f>D_T02!C89</f>
        <v>0.68</v>
      </c>
      <c r="F87" s="306"/>
      <c r="G87" s="320"/>
      <c r="H87" s="321"/>
    </row>
    <row r="88" spans="2:8" x14ac:dyDescent="0.35">
      <c r="B88" s="262"/>
      <c r="C88" s="319" t="s">
        <v>169</v>
      </c>
      <c r="D88" s="135">
        <f>SUM(D81:D87)</f>
        <v>15.252474226804123</v>
      </c>
      <c r="E88" s="298">
        <f>SUM(E81:E87)</f>
        <v>6.6324742268041232</v>
      </c>
      <c r="F88" s="306"/>
      <c r="G88" s="320"/>
      <c r="H88" s="321"/>
    </row>
    <row r="89" spans="2:8" x14ac:dyDescent="0.35">
      <c r="B89" s="322"/>
      <c r="C89" s="323" t="s">
        <v>170</v>
      </c>
      <c r="D89" s="339">
        <f>1/D88</f>
        <v>6.5563133241860375E-2</v>
      </c>
      <c r="E89" s="118">
        <f>1/E88</f>
        <v>0.15077329602860032</v>
      </c>
      <c r="F89" s="306"/>
      <c r="G89" s="320"/>
      <c r="H89" s="321"/>
    </row>
    <row r="90" spans="2:8" ht="16.5" customHeight="1" x14ac:dyDescent="0.35">
      <c r="B90" s="306"/>
      <c r="C90" s="306" t="s">
        <v>160</v>
      </c>
      <c r="D90" s="340">
        <f>D89*D80+E89*E80</f>
        <v>8.6865673938545357E-2</v>
      </c>
      <c r="E90" s="334"/>
      <c r="F90" s="306" t="s">
        <v>83</v>
      </c>
      <c r="G90" s="320"/>
      <c r="H90" s="321"/>
    </row>
    <row r="91" spans="2:8" ht="16.5" customHeight="1" x14ac:dyDescent="0.35">
      <c r="B91" s="277"/>
      <c r="C91" s="277" t="s">
        <v>161</v>
      </c>
      <c r="D91" s="137">
        <f>1/D90</f>
        <v>11.512027187027496</v>
      </c>
      <c r="E91" s="334"/>
      <c r="F91" s="275"/>
      <c r="G91" s="324"/>
      <c r="H91" s="325"/>
    </row>
    <row r="94" spans="2:8" ht="19.5" customHeight="1" x14ac:dyDescent="0.35"/>
    <row r="110" ht="20.25" customHeight="1" x14ac:dyDescent="0.35"/>
  </sheetData>
  <sheetProtection algorithmName="SHA-512" hashValue="9ygBsE44dO8MHabl36wTzqEvQZ70QNOKAZqVmeyP5ZSxCtGS2SdoUGRhhAO7sjJyt/Zu0He7DrCe4y7tTlHRmA==" saltValue="LzFDxm1HN/7kV7HT4MZROA==" spinCount="100000" sheet="1" objects="1" scenarios="1"/>
  <mergeCells count="14">
    <mergeCell ref="F52:H53"/>
    <mergeCell ref="O6:P6"/>
    <mergeCell ref="Q6:R6"/>
    <mergeCell ref="S6:T6"/>
    <mergeCell ref="K5:L5"/>
    <mergeCell ref="M5:N5"/>
    <mergeCell ref="O5:P5"/>
    <mergeCell ref="Q5:R5"/>
    <mergeCell ref="S5:T5"/>
    <mergeCell ref="D6:F6"/>
    <mergeCell ref="G6:H6"/>
    <mergeCell ref="I6:J6"/>
    <mergeCell ref="K6:L6"/>
    <mergeCell ref="M6:N6"/>
  </mergeCells>
  <dataValidations count="1">
    <dataValidation type="list" allowBlank="1" showInputMessage="1" showErrorMessage="1" sqref="F59 F74 F90">
      <formula1>UCalcMethod</formula1>
    </dataValidation>
  </dataValidations>
  <pageMargins left="0.7" right="0.7" top="0.75" bottom="0.75" header="0.3" footer="0.3"/>
  <pageSetup scale="34" fitToHeight="0" orientation="portrait" r:id="rId1"/>
  <rowBreaks count="1" manualBreakCount="1">
    <brk id="6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42"/>
  <sheetViews>
    <sheetView zoomScale="90" zoomScaleNormal="90" workbookViewId="0">
      <selection activeCell="B3" sqref="B3"/>
    </sheetView>
  </sheetViews>
  <sheetFormatPr defaultColWidth="9.1796875" defaultRowHeight="14.5" x14ac:dyDescent="0.35"/>
  <cols>
    <col min="1" max="1" width="4.453125" style="256" customWidth="1"/>
    <col min="2" max="2" width="46.7265625" style="256" customWidth="1"/>
    <col min="3" max="3" width="23.1796875" style="256" customWidth="1"/>
    <col min="4" max="4" width="20.26953125" style="256" customWidth="1"/>
    <col min="5" max="5" width="21" style="256" customWidth="1"/>
    <col min="6" max="6" width="20.1796875" style="256" customWidth="1"/>
    <col min="7" max="7" width="26.26953125" style="256" customWidth="1"/>
    <col min="8" max="8" width="26.26953125" style="256" hidden="1" customWidth="1"/>
    <col min="9" max="9" width="24.7265625" style="256" customWidth="1"/>
    <col min="10" max="16384" width="9.1796875" style="256"/>
  </cols>
  <sheetData>
    <row r="1" spans="1:8" ht="7.5" customHeight="1" x14ac:dyDescent="0.35">
      <c r="A1" s="13"/>
      <c r="B1" s="13"/>
      <c r="C1" s="13"/>
      <c r="D1" s="13"/>
      <c r="E1" s="13"/>
      <c r="F1" s="13"/>
      <c r="G1" s="13"/>
    </row>
    <row r="3" spans="1:8" ht="34.5" customHeight="1" x14ac:dyDescent="0.35">
      <c r="B3" s="258" t="s">
        <v>25</v>
      </c>
      <c r="C3" s="258" t="s">
        <v>27</v>
      </c>
      <c r="D3" s="507" t="str">
        <f>IF(Instructions!D2="","Enter Vendor's Software Name In Instruction Sheet",Instructions!D2)</f>
        <v xml:space="preserve">EnergyGauge USA </v>
      </c>
      <c r="E3" s="507"/>
    </row>
    <row r="4" spans="1:8" ht="15" customHeight="1" x14ac:dyDescent="0.35">
      <c r="B4" s="326" t="str">
        <f>D_T03!B2</f>
        <v xml:space="preserve">Prescriptive Test: House T03 (Pr-T03) Characteristics – Location: Tampa, Florida. </v>
      </c>
      <c r="C4" s="326"/>
      <c r="D4" s="326"/>
      <c r="E4" s="326"/>
    </row>
    <row r="5" spans="1:8" ht="15" customHeight="1" x14ac:dyDescent="0.35">
      <c r="B5" s="326" t="str">
        <f>D_T03!B3</f>
        <v>Single Family Detached Home with No Attached Garage, Single Story, Three bedroom.</v>
      </c>
      <c r="C5" s="326"/>
      <c r="D5" s="326"/>
      <c r="E5" s="326"/>
    </row>
    <row r="6" spans="1:8" x14ac:dyDescent="0.35">
      <c r="B6" s="4" t="s">
        <v>28</v>
      </c>
    </row>
    <row r="7" spans="1:8" x14ac:dyDescent="0.35">
      <c r="B7" s="1" t="s">
        <v>112</v>
      </c>
      <c r="C7" s="1"/>
      <c r="D7" s="8" t="s">
        <v>84</v>
      </c>
      <c r="E7" s="8"/>
    </row>
    <row r="8" spans="1:8" x14ac:dyDescent="0.35">
      <c r="B8" s="3" t="s">
        <v>113</v>
      </c>
      <c r="C8" s="3"/>
      <c r="D8" s="3"/>
    </row>
    <row r="9" spans="1:8" x14ac:dyDescent="0.35">
      <c r="B9" s="249" t="str">
        <f>D_T03!B4</f>
        <v>House Pr-T03</v>
      </c>
      <c r="C9" s="10" t="s">
        <v>242</v>
      </c>
      <c r="D9" s="116" t="s">
        <v>75</v>
      </c>
      <c r="E9" s="466" t="s">
        <v>446</v>
      </c>
    </row>
    <row r="10" spans="1:8" ht="15" thickBot="1" x14ac:dyDescent="0.4">
      <c r="C10" s="10" t="s">
        <v>86</v>
      </c>
      <c r="D10" s="10" t="s">
        <v>29</v>
      </c>
      <c r="E10" s="4" t="s">
        <v>424</v>
      </c>
    </row>
    <row r="11" spans="1:8" ht="15" thickBot="1" x14ac:dyDescent="0.4">
      <c r="B11" s="246" t="str">
        <f>D_T03!B8</f>
        <v>Slab-on-grade Floor</v>
      </c>
      <c r="C11" s="103" t="s">
        <v>93</v>
      </c>
      <c r="D11" s="105" t="str">
        <f>IF(C11="Complies","Pass","Fail")</f>
        <v>Pass</v>
      </c>
      <c r="E11" s="6"/>
      <c r="H11" s="9">
        <f t="shared" ref="H11:H23" si="0">IF(OR(D11="Not applicable",D11="Software Doesn't Check",D11="Pass"),0,1)</f>
        <v>0</v>
      </c>
    </row>
    <row r="12" spans="1:8" ht="15" thickBot="1" x14ac:dyDescent="0.4">
      <c r="B12" s="247" t="str">
        <f>D_T03!B9</f>
        <v>Roof – gable type- 5 in 12 slope No overhangs</v>
      </c>
      <c r="C12" s="103" t="s">
        <v>93</v>
      </c>
      <c r="D12" s="105" t="str">
        <f>IF(C12="Complies","Pass","Fail")</f>
        <v>Pass</v>
      </c>
      <c r="E12" s="6"/>
      <c r="H12" s="9">
        <f t="shared" si="0"/>
        <v>0</v>
      </c>
    </row>
    <row r="13" spans="1:8" ht="15" thickBot="1" x14ac:dyDescent="0.4">
      <c r="B13" s="247" t="str">
        <f>D_T03!B10</f>
        <v>Ceiling1 –flat under attic</v>
      </c>
      <c r="C13" s="103" t="s">
        <v>32</v>
      </c>
      <c r="D13" s="105" t="str">
        <f>IF(C13="R-Value too low","Pass","Fail")</f>
        <v>Pass</v>
      </c>
      <c r="E13" s="6"/>
      <c r="H13" s="9">
        <f t="shared" si="0"/>
        <v>0</v>
      </c>
    </row>
    <row r="14" spans="1:8" ht="15" thickBot="1" x14ac:dyDescent="0.4">
      <c r="B14" s="247" t="str">
        <f>D_T03!B11</f>
        <v xml:space="preserve">        Skylight</v>
      </c>
      <c r="C14" s="103" t="s">
        <v>93</v>
      </c>
      <c r="D14" s="105" t="str">
        <f>IF(C14="Complies","Pass","Fail")</f>
        <v>Pass</v>
      </c>
      <c r="E14" s="6"/>
      <c r="H14" s="9">
        <f t="shared" si="0"/>
        <v>0</v>
      </c>
    </row>
    <row r="15" spans="1:8" ht="15" thickBot="1" x14ac:dyDescent="0.4">
      <c r="B15" s="247" t="str">
        <f>D_T03!B12</f>
        <v>Wall 1 –faces North, Wood Frame2</v>
      </c>
      <c r="C15" s="103" t="s">
        <v>93</v>
      </c>
      <c r="D15" s="105" t="str">
        <f>IF(C15="Complies","Pass","Fail")</f>
        <v>Pass</v>
      </c>
      <c r="E15" s="6"/>
      <c r="H15" s="9">
        <f t="shared" si="0"/>
        <v>0</v>
      </c>
    </row>
    <row r="16" spans="1:8" ht="15" thickBot="1" x14ac:dyDescent="0.4">
      <c r="B16" s="247" t="str">
        <f>D_T03!B13</f>
        <v xml:space="preserve">        Door 1 - </v>
      </c>
      <c r="C16" s="106" t="s">
        <v>63</v>
      </c>
      <c r="D16" s="105" t="s">
        <v>63</v>
      </c>
      <c r="E16" s="6"/>
      <c r="H16" s="9">
        <f t="shared" si="0"/>
        <v>0</v>
      </c>
    </row>
    <row r="17" spans="2:8" ht="15" thickBot="1" x14ac:dyDescent="0.4">
      <c r="B17" s="247" t="str">
        <f>D_T03!B14</f>
        <v xml:space="preserve">        Window 1 – Vinyl Frame Low-e Double</v>
      </c>
      <c r="C17" s="106" t="s">
        <v>63</v>
      </c>
      <c r="D17" s="105" t="s">
        <v>63</v>
      </c>
      <c r="E17" s="6"/>
      <c r="H17" s="9">
        <f t="shared" si="0"/>
        <v>0</v>
      </c>
    </row>
    <row r="18" spans="2:8" ht="15" thickBot="1" x14ac:dyDescent="0.4">
      <c r="B18" s="247" t="str">
        <f>D_T03!B15</f>
        <v>Wall 2 –faces East, Wood Frame</v>
      </c>
      <c r="C18" s="103" t="s">
        <v>93</v>
      </c>
      <c r="D18" s="105" t="str">
        <f>IF(C18="Complies","Pass","Fail")</f>
        <v>Pass</v>
      </c>
      <c r="E18" s="6"/>
      <c r="H18" s="9">
        <f t="shared" si="0"/>
        <v>0</v>
      </c>
    </row>
    <row r="19" spans="2:8" ht="15" thickBot="1" x14ac:dyDescent="0.4">
      <c r="B19" s="247" t="str">
        <f>D_T03!B16</f>
        <v xml:space="preserve">        Window 2 – Vinyl Frame Low-e Double</v>
      </c>
      <c r="C19" s="106" t="s">
        <v>63</v>
      </c>
      <c r="D19" s="105" t="s">
        <v>63</v>
      </c>
      <c r="E19" s="6"/>
      <c r="H19" s="9">
        <f t="shared" si="0"/>
        <v>0</v>
      </c>
    </row>
    <row r="20" spans="2:8" ht="15" thickBot="1" x14ac:dyDescent="0.4">
      <c r="B20" s="247" t="str">
        <f>D_T03!B17</f>
        <v>Wall 3 –faces South, Wood Frame</v>
      </c>
      <c r="C20" s="103" t="s">
        <v>93</v>
      </c>
      <c r="D20" s="105" t="str">
        <f>IF(C20="Complies","Pass","Fail")</f>
        <v>Pass</v>
      </c>
      <c r="E20" s="6"/>
      <c r="H20" s="9">
        <f t="shared" si="0"/>
        <v>0</v>
      </c>
    </row>
    <row r="21" spans="2:8" ht="15" thickBot="1" x14ac:dyDescent="0.4">
      <c r="B21" s="247" t="str">
        <f>D_T03!B18</f>
        <v xml:space="preserve">        Window 3 – Metal Frame, Single Pane</v>
      </c>
      <c r="C21" s="106" t="s">
        <v>63</v>
      </c>
      <c r="D21" s="105" t="s">
        <v>63</v>
      </c>
      <c r="E21" s="6"/>
      <c r="H21" s="9">
        <f t="shared" si="0"/>
        <v>0</v>
      </c>
    </row>
    <row r="22" spans="2:8" ht="15" thickBot="1" x14ac:dyDescent="0.4">
      <c r="B22" s="247" t="str">
        <f>D_T03!B19</f>
        <v xml:space="preserve">Wall 4 –faces South, Wood Frame </v>
      </c>
      <c r="C22" s="103" t="s">
        <v>93</v>
      </c>
      <c r="D22" s="105" t="str">
        <f>IF(C22="Complies","Pass","Fail")</f>
        <v>Pass</v>
      </c>
      <c r="E22" s="6"/>
      <c r="H22" s="9">
        <f t="shared" si="0"/>
        <v>0</v>
      </c>
    </row>
    <row r="23" spans="2:8" ht="15" thickBot="1" x14ac:dyDescent="0.4">
      <c r="B23" s="247" t="str">
        <f>D_T03!B20</f>
        <v xml:space="preserve">        Window 4 – Vinyl Frame  Low-e Double</v>
      </c>
      <c r="C23" s="106" t="s">
        <v>63</v>
      </c>
      <c r="D23" s="105" t="s">
        <v>63</v>
      </c>
      <c r="E23" s="6"/>
      <c r="H23" s="9">
        <f t="shared" si="0"/>
        <v>0</v>
      </c>
    </row>
    <row r="24" spans="2:8" ht="15" thickBot="1" x14ac:dyDescent="0.4">
      <c r="B24" s="247" t="str">
        <f>D_T03!B21</f>
        <v>Wall 5 –faces West, Wood Frame</v>
      </c>
      <c r="C24" s="103" t="s">
        <v>93</v>
      </c>
      <c r="D24" s="105" t="str">
        <f>IF(C24="Complies","Pass","Fail")</f>
        <v>Pass</v>
      </c>
      <c r="E24" s="6"/>
      <c r="H24" s="9">
        <f>IF(OR(D24="Not applicable",D24="Software Doesn't Check",D24="Pass"),0,1)</f>
        <v>0</v>
      </c>
    </row>
    <row r="25" spans="2:8" ht="15" thickBot="1" x14ac:dyDescent="0.4">
      <c r="B25" s="247" t="str">
        <f>D_T03!B22</f>
        <v xml:space="preserve">        Window 5 – Vinyl Frame Low-e Double</v>
      </c>
      <c r="C25" s="107" t="s">
        <v>63</v>
      </c>
      <c r="D25" s="105" t="s">
        <v>63</v>
      </c>
      <c r="E25" s="6"/>
      <c r="H25" s="9">
        <f t="shared" ref="H25:H46" si="1">IF(OR(D25="Not applicable",D25="Software Doesn't Check",D25="Pass"),0,1)</f>
        <v>0</v>
      </c>
    </row>
    <row r="26" spans="2:8" ht="15" thickBot="1" x14ac:dyDescent="0.4">
      <c r="B26" s="247" t="str">
        <f>D_T03!B23</f>
        <v>Infiltration</v>
      </c>
      <c r="C26" s="108" t="s">
        <v>93</v>
      </c>
      <c r="D26" s="105" t="str">
        <f>IF(C26="Complies","Pass",IF(C26="Not part of software","Software Doesn't Check","Fail"))</f>
        <v>Pass</v>
      </c>
      <c r="E26" s="6"/>
      <c r="H26" s="9">
        <f t="shared" si="1"/>
        <v>0</v>
      </c>
    </row>
    <row r="27" spans="2:8" ht="15" thickBot="1" x14ac:dyDescent="0.4">
      <c r="B27" s="247" t="str">
        <f>D_T03!B24</f>
        <v>Heating – heat pump</v>
      </c>
      <c r="C27" s="113" t="s">
        <v>93</v>
      </c>
      <c r="D27" s="105" t="str">
        <f>IF(C27="Complies","Pass",IF(C27="Not part of software","Software Doesn't Check","Fail"))</f>
        <v>Pass</v>
      </c>
      <c r="E27" s="6"/>
      <c r="H27" s="9">
        <f t="shared" si="1"/>
        <v>0</v>
      </c>
    </row>
    <row r="28" spans="2:8" ht="15" thickBot="1" x14ac:dyDescent="0.4">
      <c r="B28" s="247" t="str">
        <f>D_T03!B25</f>
        <v>Cooling – heat pump</v>
      </c>
      <c r="C28" s="103" t="s">
        <v>93</v>
      </c>
      <c r="D28" s="105" t="str">
        <f>IF(C28="Complies","Pass",IF(C28="Not part of software","Software Doesn't Check","Fail"))</f>
        <v>Pass</v>
      </c>
      <c r="E28" s="6"/>
      <c r="H28" s="9">
        <f t="shared" si="1"/>
        <v>0</v>
      </c>
    </row>
    <row r="29" spans="2:8" ht="15" thickBot="1" x14ac:dyDescent="0.4">
      <c r="B29" s="247" t="str">
        <f>D_T03!B26</f>
        <v>Ducts – supply in attic</v>
      </c>
      <c r="C29" s="103" t="s">
        <v>93</v>
      </c>
      <c r="D29" s="105" t="str">
        <f>IF(C29="Complies","Pass",IF(C29="Not part of software","Software Doesn't Check","Fail"))</f>
        <v>Pass</v>
      </c>
      <c r="E29" s="6" t="s">
        <v>423</v>
      </c>
      <c r="H29" s="9">
        <f t="shared" si="1"/>
        <v>0</v>
      </c>
    </row>
    <row r="30" spans="2:8" ht="15" thickBot="1" x14ac:dyDescent="0.4">
      <c r="B30" s="247" t="str">
        <f>D_T03!B27</f>
        <v>Ducts – Return in Conditioned Space</v>
      </c>
      <c r="C30" s="103" t="s">
        <v>93</v>
      </c>
      <c r="D30" s="105" t="str">
        <f t="shared" ref="D30:D38" si="2">IF(C30="Complies","Pass",IF(C30="Not part of software","Software Doesn't Check","Fail"))</f>
        <v>Pass</v>
      </c>
      <c r="E30" s="6"/>
      <c r="H30" s="9">
        <f t="shared" si="1"/>
        <v>0</v>
      </c>
    </row>
    <row r="31" spans="2:8" ht="15" thickBot="1" x14ac:dyDescent="0.4">
      <c r="B31" s="247" t="str">
        <f>D_T03!B28</f>
        <v>Duct Tightness</v>
      </c>
      <c r="C31" s="103" t="s">
        <v>93</v>
      </c>
      <c r="D31" s="105" t="str">
        <f t="shared" si="2"/>
        <v>Pass</v>
      </c>
      <c r="E31" s="6"/>
      <c r="H31" s="9">
        <f t="shared" si="1"/>
        <v>0</v>
      </c>
    </row>
    <row r="32" spans="2:8" ht="15" thickBot="1" x14ac:dyDescent="0.4">
      <c r="B32" s="247" t="str">
        <f>D_T03!B29</f>
        <v>Air Handler – in Conditioned Space</v>
      </c>
      <c r="C32" s="103" t="s">
        <v>93</v>
      </c>
      <c r="D32" s="105" t="str">
        <f t="shared" si="2"/>
        <v>Pass</v>
      </c>
      <c r="E32" s="6"/>
      <c r="H32" s="9">
        <f t="shared" si="1"/>
        <v>0</v>
      </c>
    </row>
    <row r="33" spans="1:8" ht="15" thickBot="1" x14ac:dyDescent="0.4">
      <c r="B33" s="247" t="str">
        <f>D_T03!B30</f>
        <v>Mechanical Ventilation</v>
      </c>
      <c r="C33" s="103" t="s">
        <v>93</v>
      </c>
      <c r="D33" s="105" t="str">
        <f t="shared" si="2"/>
        <v>Pass</v>
      </c>
      <c r="E33" s="6"/>
      <c r="H33" s="9">
        <f t="shared" si="1"/>
        <v>0</v>
      </c>
    </row>
    <row r="34" spans="1:8" ht="15" thickBot="1" x14ac:dyDescent="0.4">
      <c r="B34" s="247" t="str">
        <f>D_T03!B31</f>
        <v>Hot Water System - electric</v>
      </c>
      <c r="C34" s="103" t="s">
        <v>93</v>
      </c>
      <c r="D34" s="105" t="str">
        <f t="shared" si="2"/>
        <v>Pass</v>
      </c>
      <c r="E34" s="6"/>
      <c r="H34" s="9">
        <f t="shared" si="1"/>
        <v>0</v>
      </c>
    </row>
    <row r="35" spans="1:8" ht="15" thickBot="1" x14ac:dyDescent="0.4">
      <c r="B35" s="247" t="str">
        <f>D_T03!B32</f>
        <v>All Hot Water Lines</v>
      </c>
      <c r="C35" s="103" t="s">
        <v>56</v>
      </c>
      <c r="D35" s="105" t="str">
        <f t="shared" si="2"/>
        <v>Software Doesn't Check</v>
      </c>
      <c r="E35" s="6"/>
      <c r="H35" s="9">
        <f t="shared" si="1"/>
        <v>0</v>
      </c>
    </row>
    <row r="36" spans="1:8" ht="15" thickBot="1" x14ac:dyDescent="0.4">
      <c r="B36" s="247" t="str">
        <f>D_T03!B33</f>
        <v>Hot Water Circulation -none</v>
      </c>
      <c r="C36" s="103" t="s">
        <v>56</v>
      </c>
      <c r="D36" s="105" t="str">
        <f t="shared" si="2"/>
        <v>Software Doesn't Check</v>
      </c>
      <c r="E36" s="6"/>
      <c r="H36" s="9">
        <f t="shared" si="1"/>
        <v>0</v>
      </c>
    </row>
    <row r="37" spans="1:8" ht="15" thickBot="1" x14ac:dyDescent="0.4">
      <c r="B37" s="247" t="str">
        <f>D_T03!B34</f>
        <v>Lighting</v>
      </c>
      <c r="C37" s="103" t="s">
        <v>93</v>
      </c>
      <c r="D37" s="105" t="str">
        <f t="shared" si="2"/>
        <v>Pass</v>
      </c>
      <c r="E37" s="6"/>
      <c r="H37" s="9">
        <f t="shared" si="1"/>
        <v>0</v>
      </c>
    </row>
    <row r="38" spans="1:8" ht="15" thickBot="1" x14ac:dyDescent="0.4">
      <c r="B38" s="247" t="str">
        <f>D_T03!B35</f>
        <v>Pool and Spa - none</v>
      </c>
      <c r="C38" s="103" t="s">
        <v>56</v>
      </c>
      <c r="D38" s="105" t="str">
        <f t="shared" si="2"/>
        <v>Software Doesn't Check</v>
      </c>
      <c r="E38" s="6"/>
      <c r="H38" s="9">
        <f t="shared" si="1"/>
        <v>0</v>
      </c>
    </row>
    <row r="39" spans="1:8" ht="15" thickBot="1" x14ac:dyDescent="0.4">
      <c r="B39" s="248" t="str">
        <f>D_T03!B38</f>
        <v>Area Weighted Fenestration U-Factor Value</v>
      </c>
      <c r="C39" s="104">
        <v>0.36</v>
      </c>
      <c r="D39" s="105" t="str">
        <f>IF(C39&gt;UA_T03!M27,IF(C39&lt;=UA_T03!M28,"Pass","Fail"),"Fail")</f>
        <v>Pass</v>
      </c>
      <c r="E39" s="300"/>
      <c r="H39" s="9">
        <f t="shared" si="1"/>
        <v>0</v>
      </c>
    </row>
    <row r="40" spans="1:8" ht="15" thickBot="1" x14ac:dyDescent="0.4">
      <c r="B40" s="248" t="str">
        <f>D_T03!B39</f>
        <v>Area Weighted Fenestration SHGC Value</v>
      </c>
      <c r="C40" s="103">
        <v>0.246</v>
      </c>
      <c r="D40" s="105" t="str">
        <f>IF(C40&gt;UA_T03!Q27,IF(C40&lt;=UA_T03!Q28,"Pass","Fail"),"Fail")</f>
        <v>Pass</v>
      </c>
      <c r="E40" s="300"/>
      <c r="H40" s="9">
        <f t="shared" si="1"/>
        <v>0</v>
      </c>
    </row>
    <row r="41" spans="1:8" ht="15" thickBot="1" x14ac:dyDescent="0.4">
      <c r="B41" s="248" t="str">
        <f>D_T03!B40</f>
        <v>Total Thermal Envelope UA Value</v>
      </c>
      <c r="C41" s="110" t="s">
        <v>63</v>
      </c>
      <c r="D41" s="105" t="str">
        <f>IF(C41="Complies","Not applicable",IF(C41="Not applicable","Not applicable","Fail"))</f>
        <v>Not applicable</v>
      </c>
      <c r="E41" s="300"/>
      <c r="H41" s="9">
        <f t="shared" si="1"/>
        <v>0</v>
      </c>
    </row>
    <row r="42" spans="1:8" ht="15" thickBot="1" x14ac:dyDescent="0.4">
      <c r="B42" s="248" t="str">
        <f>D_T03!B41</f>
        <v>Area Weighted Fenestration U-Factor Result</v>
      </c>
      <c r="C42" s="103" t="s">
        <v>93</v>
      </c>
      <c r="D42" s="105" t="str">
        <f>IF(C42="Complies","Pass","Fail")</f>
        <v>Pass</v>
      </c>
      <c r="E42" s="6"/>
      <c r="H42" s="9">
        <f t="shared" si="1"/>
        <v>0</v>
      </c>
    </row>
    <row r="43" spans="1:8" ht="15" thickBot="1" x14ac:dyDescent="0.4">
      <c r="B43" s="248" t="str">
        <f>D_T03!B42</f>
        <v>Area Weighted Fenestration SHGC Result</v>
      </c>
      <c r="C43" s="103" t="s">
        <v>93</v>
      </c>
      <c r="D43" s="105" t="str">
        <f>IF(C43="Complies","Pass","Fail")</f>
        <v>Pass</v>
      </c>
      <c r="E43" s="6"/>
      <c r="H43" s="9">
        <f t="shared" si="1"/>
        <v>0</v>
      </c>
    </row>
    <row r="44" spans="1:8" ht="15" thickBot="1" x14ac:dyDescent="0.4">
      <c r="B44" s="248" t="str">
        <f>D_T03!B43</f>
        <v>Baseline Thermal Envelope UA Value</v>
      </c>
      <c r="C44" s="111" t="s">
        <v>63</v>
      </c>
      <c r="D44" s="105" t="str">
        <f>IF(C44="Complies","Not applicable",IF(C44="Not applicable","Not applicable","Fail"))</f>
        <v>Not applicable</v>
      </c>
      <c r="E44" s="6"/>
      <c r="H44" s="9">
        <f t="shared" si="1"/>
        <v>0</v>
      </c>
    </row>
    <row r="45" spans="1:8" ht="15" thickBot="1" x14ac:dyDescent="0.4">
      <c r="B45" s="248" t="str">
        <f>D_T03!B44</f>
        <v>Total Thermal Envelope UA Result</v>
      </c>
      <c r="C45" s="111" t="s">
        <v>63</v>
      </c>
      <c r="D45" s="105" t="str">
        <f>IF(C45="Complies","Not applicable",IF(C45="Not applicable","Not applicable","Fail"))</f>
        <v>Not applicable</v>
      </c>
      <c r="H45" s="9">
        <f t="shared" si="1"/>
        <v>0</v>
      </c>
    </row>
    <row r="46" spans="1:8" ht="15" thickBot="1" x14ac:dyDescent="0.4">
      <c r="B46" s="248" t="str">
        <f>D_T03!B45</f>
        <v>House Complies?</v>
      </c>
      <c r="C46" s="103" t="s">
        <v>120</v>
      </c>
      <c r="D46" s="105" t="str">
        <f>IF(C46="No","Pass","Fail")</f>
        <v>Pass</v>
      </c>
      <c r="H46" s="9">
        <f t="shared" si="1"/>
        <v>0</v>
      </c>
    </row>
    <row r="47" spans="1:8" ht="21.65" customHeight="1" x14ac:dyDescent="0.6">
      <c r="B47" s="19"/>
      <c r="C47" s="15" t="s">
        <v>94</v>
      </c>
      <c r="D47" s="16" t="str">
        <f>IF(H47&gt;0,"FAIL","PASS")</f>
        <v>PASS</v>
      </c>
      <c r="H47" s="256">
        <f xml:space="preserve"> SUM(H11:H46)</f>
        <v>0</v>
      </c>
    </row>
    <row r="48" spans="1:8" ht="7.9" customHeight="1" x14ac:dyDescent="0.35">
      <c r="A48" s="13"/>
      <c r="B48" s="20"/>
      <c r="C48" s="17"/>
      <c r="D48" s="18"/>
      <c r="E48" s="13"/>
      <c r="F48" s="13"/>
      <c r="G48" s="13"/>
    </row>
    <row r="49" spans="1:8" x14ac:dyDescent="0.35">
      <c r="B49" s="19"/>
      <c r="C49" s="12"/>
      <c r="D49" s="11"/>
    </row>
    <row r="50" spans="1:8" ht="7.9" hidden="1" customHeight="1" x14ac:dyDescent="0.35">
      <c r="A50" s="2"/>
      <c r="B50" s="21"/>
      <c r="C50" s="2"/>
      <c r="D50" s="2"/>
      <c r="E50" s="2"/>
      <c r="F50" s="2"/>
      <c r="G50" s="2"/>
    </row>
    <row r="51" spans="1:8" hidden="1" x14ac:dyDescent="0.35">
      <c r="B51" s="19"/>
    </row>
    <row r="52" spans="1:8" ht="33" hidden="1" customHeight="1" x14ac:dyDescent="0.35">
      <c r="B52" s="114" t="s">
        <v>25</v>
      </c>
      <c r="C52" s="305" t="s">
        <v>27</v>
      </c>
      <c r="D52" s="507" t="str">
        <f>IF(Instructions!D2="","Enter Vendor's Software Name In Instruction Sheet",Instructions!D2)</f>
        <v xml:space="preserve">EnergyGauge USA </v>
      </c>
      <c r="E52" s="507"/>
    </row>
    <row r="53" spans="1:8" hidden="1" x14ac:dyDescent="0.35">
      <c r="B53" s="22" t="s">
        <v>76</v>
      </c>
    </row>
    <row r="54" spans="1:8" hidden="1" x14ac:dyDescent="0.35">
      <c r="B54" s="30" t="s">
        <v>112</v>
      </c>
      <c r="C54" s="1"/>
      <c r="D54" s="8" t="s">
        <v>84</v>
      </c>
      <c r="E54" s="8"/>
    </row>
    <row r="55" spans="1:8" hidden="1" x14ac:dyDescent="0.35">
      <c r="B55" s="31" t="s">
        <v>113</v>
      </c>
      <c r="C55" s="3"/>
      <c r="D55" s="3"/>
    </row>
    <row r="56" spans="1:8" hidden="1" x14ac:dyDescent="0.35">
      <c r="B56" s="250" t="str">
        <f>D_T03!B4</f>
        <v>House Pr-T03</v>
      </c>
      <c r="C56" s="10" t="s">
        <v>77</v>
      </c>
      <c r="D56" s="4"/>
      <c r="E56" s="10" t="s">
        <v>243</v>
      </c>
      <c r="F56" s="116" t="s">
        <v>88</v>
      </c>
    </row>
    <row r="57" spans="1:8" ht="15" hidden="1" thickBot="1" x14ac:dyDescent="0.4">
      <c r="B57" s="19"/>
      <c r="C57" s="10" t="s">
        <v>87</v>
      </c>
      <c r="D57" s="10" t="s">
        <v>77</v>
      </c>
      <c r="E57" s="10" t="s">
        <v>86</v>
      </c>
      <c r="F57" s="10" t="s">
        <v>89</v>
      </c>
    </row>
    <row r="58" spans="1:8" ht="15" hidden="1" thickBot="1" x14ac:dyDescent="0.4">
      <c r="B58" s="246" t="str">
        <f>D_T03!B8</f>
        <v>Slab-on-grade Floor</v>
      </c>
      <c r="C58" s="106"/>
      <c r="D58" s="106"/>
      <c r="E58" s="103"/>
      <c r="F58" s="105" t="str">
        <f>IF(E58="Complies","Pass","Fail")</f>
        <v>Fail</v>
      </c>
      <c r="H58" s="9">
        <f>IF(OR(F58="Not applicable",F58="Software Doesn't Check",F58="Pass"),0,1)</f>
        <v>1</v>
      </c>
    </row>
    <row r="59" spans="1:8" ht="15" hidden="1" customHeight="1" thickBot="1" x14ac:dyDescent="0.4">
      <c r="B59" s="247" t="str">
        <f>D_T03!B9</f>
        <v>Roof – gable type- 5 in 12 slope No overhangs</v>
      </c>
      <c r="C59" s="106"/>
      <c r="D59" s="106"/>
      <c r="E59" s="103"/>
      <c r="F59" s="105" t="str">
        <f>IF(E59="Complies","Pass","Fail")</f>
        <v>Fail</v>
      </c>
      <c r="H59" s="9">
        <f t="shared" ref="H59:H93" si="3">IF(OR(F59="Not applicable",F59="Software Doesn't Check",F59="Pass"),0,1)</f>
        <v>1</v>
      </c>
    </row>
    <row r="60" spans="1:8" ht="15" hidden="1" customHeight="1" thickBot="1" x14ac:dyDescent="0.4">
      <c r="B60" s="247" t="str">
        <f>D_T03!B10</f>
        <v>Ceiling1 –flat under attic</v>
      </c>
      <c r="C60" s="103"/>
      <c r="D60" s="103"/>
      <c r="E60" s="103"/>
      <c r="F60" s="105" t="str">
        <f>IF(E60="U-Factor too high","Pass","Fail")</f>
        <v>Fail</v>
      </c>
      <c r="H60" s="9">
        <f t="shared" si="3"/>
        <v>1</v>
      </c>
    </row>
    <row r="61" spans="1:8" ht="15" hidden="1" customHeight="1" thickBot="1" x14ac:dyDescent="0.4">
      <c r="B61" s="247" t="str">
        <f>D_T03!B11</f>
        <v xml:space="preserve">        Skylight</v>
      </c>
      <c r="C61" s="106"/>
      <c r="D61" s="216">
        <f>D_T03!E11</f>
        <v>0.65</v>
      </c>
      <c r="E61" s="103"/>
      <c r="F61" s="105" t="str">
        <f>IF(E61="Complies","Pass","Fail")</f>
        <v>Fail</v>
      </c>
      <c r="H61" s="9">
        <f t="shared" si="3"/>
        <v>1</v>
      </c>
    </row>
    <row r="62" spans="1:8" ht="15" hidden="1" customHeight="1" thickBot="1" x14ac:dyDescent="0.4">
      <c r="B62" s="247" t="str">
        <f>D_T03!B12</f>
        <v>Wall 1 –faces North, Wood Frame2</v>
      </c>
      <c r="C62" s="103"/>
      <c r="D62" s="103"/>
      <c r="E62" s="103"/>
      <c r="F62" s="105" t="str">
        <f>IF(E62="Complies","Pass","Fail")</f>
        <v>Fail</v>
      </c>
      <c r="H62" s="9">
        <f t="shared" si="3"/>
        <v>1</v>
      </c>
    </row>
    <row r="63" spans="1:8" ht="15" hidden="1" customHeight="1" thickBot="1" x14ac:dyDescent="0.4">
      <c r="B63" s="247" t="str">
        <f>D_T03!B13</f>
        <v xml:space="preserve">        Door 1 - </v>
      </c>
      <c r="C63" s="106"/>
      <c r="D63" s="405">
        <f>D_T03!E13</f>
        <v>0.4</v>
      </c>
      <c r="E63" s="110" t="s">
        <v>63</v>
      </c>
      <c r="F63" s="105" t="s">
        <v>63</v>
      </c>
      <c r="H63" s="9">
        <f t="shared" si="3"/>
        <v>0</v>
      </c>
    </row>
    <row r="64" spans="1:8" ht="15" hidden="1" customHeight="1" thickBot="1" x14ac:dyDescent="0.4">
      <c r="B64" s="247" t="str">
        <f>D_T03!B14</f>
        <v xml:space="preserve">        Window 1 – Vinyl Frame Low-e Double</v>
      </c>
      <c r="C64" s="106"/>
      <c r="D64" s="405">
        <f>D_T03!E14</f>
        <v>0.35</v>
      </c>
      <c r="E64" s="110" t="s">
        <v>63</v>
      </c>
      <c r="F64" s="105" t="s">
        <v>63</v>
      </c>
      <c r="H64" s="9">
        <f t="shared" si="3"/>
        <v>0</v>
      </c>
    </row>
    <row r="65" spans="2:8" ht="15" hidden="1" customHeight="1" thickBot="1" x14ac:dyDescent="0.4">
      <c r="B65" s="247" t="str">
        <f>D_T03!B15</f>
        <v>Wall 2 –faces East, Wood Frame</v>
      </c>
      <c r="C65" s="103"/>
      <c r="D65" s="103"/>
      <c r="E65" s="103"/>
      <c r="F65" s="105" t="str">
        <f>IF(E65="Complies","Pass","Fail")</f>
        <v>Fail</v>
      </c>
      <c r="H65" s="9">
        <f t="shared" si="3"/>
        <v>1</v>
      </c>
    </row>
    <row r="66" spans="2:8" ht="15" hidden="1" customHeight="1" thickBot="1" x14ac:dyDescent="0.4">
      <c r="B66" s="247" t="str">
        <f>D_T03!B16</f>
        <v xml:space="preserve">        Window 2 – Vinyl Frame Low-e Double</v>
      </c>
      <c r="C66" s="106"/>
      <c r="D66" s="405">
        <f>D_T03!E16</f>
        <v>0.35</v>
      </c>
      <c r="E66" s="110" t="s">
        <v>63</v>
      </c>
      <c r="F66" s="105" t="s">
        <v>63</v>
      </c>
      <c r="H66" s="9">
        <f t="shared" si="3"/>
        <v>0</v>
      </c>
    </row>
    <row r="67" spans="2:8" ht="15" hidden="1" customHeight="1" thickBot="1" x14ac:dyDescent="0.4">
      <c r="B67" s="247" t="str">
        <f>D_T03!B17</f>
        <v>Wall 3 –faces South, Wood Frame</v>
      </c>
      <c r="C67" s="103"/>
      <c r="D67" s="103"/>
      <c r="E67" s="103"/>
      <c r="F67" s="105" t="str">
        <f>IF(E67="Complies","Pass","Fail")</f>
        <v>Fail</v>
      </c>
      <c r="H67" s="9">
        <f t="shared" si="3"/>
        <v>1</v>
      </c>
    </row>
    <row r="68" spans="2:8" ht="15" hidden="1" customHeight="1" thickBot="1" x14ac:dyDescent="0.4">
      <c r="B68" s="247" t="str">
        <f>D_T03!B18</f>
        <v xml:space="preserve">        Window 3 – Metal Frame, Single Pane</v>
      </c>
      <c r="C68" s="106"/>
      <c r="D68" s="405">
        <f>D_T03!E18</f>
        <v>1.2</v>
      </c>
      <c r="E68" s="110" t="s">
        <v>63</v>
      </c>
      <c r="F68" s="105" t="s">
        <v>63</v>
      </c>
      <c r="H68" s="9">
        <f t="shared" si="3"/>
        <v>0</v>
      </c>
    </row>
    <row r="69" spans="2:8" ht="15" hidden="1" customHeight="1" thickBot="1" x14ac:dyDescent="0.4">
      <c r="B69" s="247" t="str">
        <f>D_T03!B19</f>
        <v xml:space="preserve">Wall 4 –faces South, Wood Frame </v>
      </c>
      <c r="C69" s="103"/>
      <c r="D69" s="103"/>
      <c r="E69" s="103"/>
      <c r="F69" s="105" t="str">
        <f>IF(E69="U-Factor too high","Pass","Fail")</f>
        <v>Fail</v>
      </c>
      <c r="H69" s="9">
        <f t="shared" si="3"/>
        <v>1</v>
      </c>
    </row>
    <row r="70" spans="2:8" ht="15" hidden="1" customHeight="1" thickBot="1" x14ac:dyDescent="0.4">
      <c r="B70" s="247" t="str">
        <f>D_T03!B20</f>
        <v xml:space="preserve">        Window 4 – Vinyl Frame  Low-e Double</v>
      </c>
      <c r="C70" s="106"/>
      <c r="D70" s="405">
        <f>D_T03!E20</f>
        <v>0.35</v>
      </c>
      <c r="E70" s="110" t="s">
        <v>63</v>
      </c>
      <c r="F70" s="105" t="s">
        <v>63</v>
      </c>
      <c r="H70" s="9">
        <f t="shared" si="3"/>
        <v>0</v>
      </c>
    </row>
    <row r="71" spans="2:8" ht="15" hidden="1" customHeight="1" thickBot="1" x14ac:dyDescent="0.4">
      <c r="B71" s="247" t="str">
        <f>D_T03!B21</f>
        <v>Wall 5 –faces West, Wood Frame</v>
      </c>
      <c r="C71" s="103"/>
      <c r="D71" s="103"/>
      <c r="E71" s="103"/>
      <c r="F71" s="105" t="str">
        <f>IF(E71="Complies","Pass","Fail")</f>
        <v>Fail</v>
      </c>
      <c r="H71" s="9">
        <f t="shared" si="3"/>
        <v>1</v>
      </c>
    </row>
    <row r="72" spans="2:8" ht="15" hidden="1" customHeight="1" thickBot="1" x14ac:dyDescent="0.4">
      <c r="B72" s="247" t="str">
        <f>D_T03!B22</f>
        <v xml:space="preserve">        Window 5 – Vinyl Frame Low-e Double</v>
      </c>
      <c r="C72" s="106"/>
      <c r="D72" s="405">
        <f>D_T03!E22</f>
        <v>0.35</v>
      </c>
      <c r="E72" s="110" t="s">
        <v>63</v>
      </c>
      <c r="F72" s="105" t="s">
        <v>63</v>
      </c>
      <c r="H72" s="9">
        <f t="shared" si="3"/>
        <v>0</v>
      </c>
    </row>
    <row r="73" spans="2:8" ht="15" hidden="1" customHeight="1" thickBot="1" x14ac:dyDescent="0.4">
      <c r="B73" s="247" t="str">
        <f>D_T03!B23</f>
        <v>Infiltration</v>
      </c>
      <c r="C73" s="106"/>
      <c r="D73" s="106"/>
      <c r="E73" s="112"/>
      <c r="F73" s="105" t="str">
        <f>IF(E73="Complies","Pass",IF(E73="Not part of software","Software Doesn't Check","Fail"))</f>
        <v>Fail</v>
      </c>
      <c r="H73" s="9">
        <f t="shared" si="3"/>
        <v>1</v>
      </c>
    </row>
    <row r="74" spans="2:8" ht="15" hidden="1" customHeight="1" thickBot="1" x14ac:dyDescent="0.4">
      <c r="B74" s="247" t="str">
        <f>D_T03!B24</f>
        <v>Heating – heat pump</v>
      </c>
      <c r="C74" s="106"/>
      <c r="D74" s="106"/>
      <c r="E74" s="113"/>
      <c r="F74" s="105" t="str">
        <f>IF(E74="Complies","Pass",IF(E74="Not part of software","Software Doesn't Check","Fail"))</f>
        <v>Fail</v>
      </c>
      <c r="H74" s="9">
        <f t="shared" si="3"/>
        <v>1</v>
      </c>
    </row>
    <row r="75" spans="2:8" ht="15" hidden="1" customHeight="1" thickBot="1" x14ac:dyDescent="0.4">
      <c r="B75" s="247" t="str">
        <f>D_T03!B25</f>
        <v>Cooling – heat pump</v>
      </c>
      <c r="C75" s="106"/>
      <c r="D75" s="106"/>
      <c r="E75" s="112"/>
      <c r="F75" s="105" t="str">
        <f>IF(E75="Complies","Pass",IF(E75="Not part of software","Software Doesn't Check","Fail"))</f>
        <v>Fail</v>
      </c>
      <c r="H75" s="9">
        <f t="shared" si="3"/>
        <v>1</v>
      </c>
    </row>
    <row r="76" spans="2:8" ht="15" hidden="1" customHeight="1" thickBot="1" x14ac:dyDescent="0.4">
      <c r="B76" s="247" t="str">
        <f>D_T03!B26</f>
        <v>Ducts – supply in attic</v>
      </c>
      <c r="C76" s="106"/>
      <c r="D76" s="106"/>
      <c r="E76" s="112"/>
      <c r="F76" s="105" t="str">
        <f>IF(E76="Complies","Pass",IF(E76="Not part of software","Software Doesn't Check","Fail"))</f>
        <v>Fail</v>
      </c>
      <c r="H76" s="9">
        <f t="shared" si="3"/>
        <v>1</v>
      </c>
    </row>
    <row r="77" spans="2:8" ht="15" hidden="1" customHeight="1" thickBot="1" x14ac:dyDescent="0.4">
      <c r="B77" s="247" t="str">
        <f>D_T03!B27</f>
        <v>Ducts – Return in Conditioned Space</v>
      </c>
      <c r="C77" s="106"/>
      <c r="D77" s="106"/>
      <c r="E77" s="112"/>
      <c r="F77" s="105" t="str">
        <f t="shared" ref="F77:F85" si="4">IF(E77="Complies","Pass",IF(E77="Not part of software","Software Doesn't Check","Fail"))</f>
        <v>Fail</v>
      </c>
      <c r="H77" s="9">
        <f t="shared" si="3"/>
        <v>1</v>
      </c>
    </row>
    <row r="78" spans="2:8" ht="15" hidden="1" customHeight="1" thickBot="1" x14ac:dyDescent="0.4">
      <c r="B78" s="247" t="str">
        <f>D_T03!B28</f>
        <v>Duct Tightness</v>
      </c>
      <c r="C78" s="106"/>
      <c r="D78" s="106"/>
      <c r="E78" s="112"/>
      <c r="F78" s="105" t="str">
        <f t="shared" si="4"/>
        <v>Fail</v>
      </c>
      <c r="H78" s="9">
        <f t="shared" si="3"/>
        <v>1</v>
      </c>
    </row>
    <row r="79" spans="2:8" ht="15" hidden="1" customHeight="1" thickBot="1" x14ac:dyDescent="0.4">
      <c r="B79" s="247" t="str">
        <f>D_T03!B29</f>
        <v>Air Handler – in Conditioned Space</v>
      </c>
      <c r="C79" s="106"/>
      <c r="D79" s="106"/>
      <c r="E79" s="112"/>
      <c r="F79" s="105" t="str">
        <f t="shared" si="4"/>
        <v>Fail</v>
      </c>
      <c r="H79" s="9">
        <f t="shared" si="3"/>
        <v>1</v>
      </c>
    </row>
    <row r="80" spans="2:8" ht="15" hidden="1" customHeight="1" thickBot="1" x14ac:dyDescent="0.4">
      <c r="B80" s="247" t="str">
        <f>D_T03!B30</f>
        <v>Mechanical Ventilation</v>
      </c>
      <c r="C80" s="106"/>
      <c r="D80" s="106"/>
      <c r="E80" s="103"/>
      <c r="F80" s="105" t="str">
        <f t="shared" si="4"/>
        <v>Fail</v>
      </c>
      <c r="H80" s="9">
        <f t="shared" si="3"/>
        <v>1</v>
      </c>
    </row>
    <row r="81" spans="1:8" ht="15" hidden="1" customHeight="1" thickBot="1" x14ac:dyDescent="0.4">
      <c r="B81" s="247" t="str">
        <f>D_T03!B31</f>
        <v>Hot Water System - electric</v>
      </c>
      <c r="C81" s="106"/>
      <c r="D81" s="106"/>
      <c r="E81" s="112"/>
      <c r="F81" s="105" t="str">
        <f t="shared" si="4"/>
        <v>Fail</v>
      </c>
      <c r="H81" s="9">
        <f t="shared" si="3"/>
        <v>1</v>
      </c>
    </row>
    <row r="82" spans="1:8" ht="15" hidden="1" customHeight="1" thickBot="1" x14ac:dyDescent="0.4">
      <c r="B82" s="247" t="str">
        <f>D_T03!B32</f>
        <v>All Hot Water Lines</v>
      </c>
      <c r="C82" s="106"/>
      <c r="D82" s="106"/>
      <c r="E82" s="112"/>
      <c r="F82" s="105" t="str">
        <f t="shared" si="4"/>
        <v>Fail</v>
      </c>
      <c r="H82" s="9">
        <f t="shared" si="3"/>
        <v>1</v>
      </c>
    </row>
    <row r="83" spans="1:8" ht="15" hidden="1" customHeight="1" thickBot="1" x14ac:dyDescent="0.4">
      <c r="B83" s="247" t="str">
        <f>D_T03!B33</f>
        <v>Hot Water Circulation -none</v>
      </c>
      <c r="C83" s="106"/>
      <c r="D83" s="106"/>
      <c r="E83" s="112"/>
      <c r="F83" s="105" t="str">
        <f t="shared" si="4"/>
        <v>Fail</v>
      </c>
      <c r="H83" s="9">
        <f t="shared" si="3"/>
        <v>1</v>
      </c>
    </row>
    <row r="84" spans="1:8" ht="15" hidden="1" customHeight="1" thickBot="1" x14ac:dyDescent="0.4">
      <c r="B84" s="247" t="str">
        <f>D_T03!B34</f>
        <v>Lighting</v>
      </c>
      <c r="C84" s="106"/>
      <c r="D84" s="106"/>
      <c r="E84" s="112"/>
      <c r="F84" s="105" t="str">
        <f t="shared" si="4"/>
        <v>Fail</v>
      </c>
      <c r="H84" s="9">
        <f t="shared" si="3"/>
        <v>1</v>
      </c>
    </row>
    <row r="85" spans="1:8" ht="15" hidden="1" customHeight="1" thickBot="1" x14ac:dyDescent="0.4">
      <c r="B85" s="247" t="str">
        <f>D_T03!B35</f>
        <v>Pool and Spa - none</v>
      </c>
      <c r="C85" s="106"/>
      <c r="D85" s="106"/>
      <c r="E85" s="112"/>
      <c r="F85" s="105" t="str">
        <f t="shared" si="4"/>
        <v>Fail</v>
      </c>
      <c r="H85" s="9">
        <f t="shared" si="3"/>
        <v>1</v>
      </c>
    </row>
    <row r="86" spans="1:8" ht="15" hidden="1" customHeight="1" thickBot="1" x14ac:dyDescent="0.4">
      <c r="B86" s="248" t="str">
        <f>D_T03!B38</f>
        <v>Area Weighted Fenestration U-Factor Value</v>
      </c>
      <c r="C86" s="106"/>
      <c r="D86" s="106"/>
      <c r="E86" s="104"/>
      <c r="F86" s="105" t="str">
        <f>IF(E86&gt;UA_T03!O27,IF(E86&lt;=UA_T03!O28,"Pass","Fail"),"Fail")</f>
        <v>Fail</v>
      </c>
      <c r="H86" s="9">
        <f t="shared" si="3"/>
        <v>1</v>
      </c>
    </row>
    <row r="87" spans="1:8" ht="15" hidden="1" customHeight="1" thickBot="1" x14ac:dyDescent="0.4">
      <c r="B87" s="248" t="str">
        <f>D_T03!B39</f>
        <v>Area Weighted Fenestration SHGC Value</v>
      </c>
      <c r="C87" s="106"/>
      <c r="D87" s="106"/>
      <c r="E87" s="103"/>
      <c r="F87" s="105" t="str">
        <f>IF(E87&gt;UA_T03!S27,IF(E87&lt;=UA_T03!S28,"Pass","Fail"),"Fail")</f>
        <v>Fail</v>
      </c>
      <c r="H87" s="9">
        <f t="shared" si="3"/>
        <v>1</v>
      </c>
    </row>
    <row r="88" spans="1:8" ht="15" hidden="1" customHeight="1" thickBot="1" x14ac:dyDescent="0.4">
      <c r="B88" s="248" t="str">
        <f>D_T03!B40</f>
        <v>Total Thermal Envelope UA Value</v>
      </c>
      <c r="C88" s="106"/>
      <c r="D88" s="106"/>
      <c r="E88" s="110" t="s">
        <v>63</v>
      </c>
      <c r="F88" s="105" t="s">
        <v>63</v>
      </c>
      <c r="H88" s="9">
        <f t="shared" si="3"/>
        <v>0</v>
      </c>
    </row>
    <row r="89" spans="1:8" ht="15" hidden="1" customHeight="1" thickBot="1" x14ac:dyDescent="0.4">
      <c r="B89" s="248" t="str">
        <f>D_T03!B41</f>
        <v>Area Weighted Fenestration U-Factor Result</v>
      </c>
      <c r="C89" s="106"/>
      <c r="D89" s="110"/>
      <c r="E89" s="103"/>
      <c r="F89" s="105" t="str">
        <f>IF(E89="Complies","Pass","Fail")</f>
        <v>Fail</v>
      </c>
      <c r="H89" s="9">
        <f t="shared" si="3"/>
        <v>1</v>
      </c>
    </row>
    <row r="90" spans="1:8" ht="15" hidden="1" customHeight="1" thickBot="1" x14ac:dyDescent="0.4">
      <c r="B90" s="248" t="str">
        <f>D_T03!B42</f>
        <v>Area Weighted Fenestration SHGC Result</v>
      </c>
      <c r="C90" s="106"/>
      <c r="D90" s="110"/>
      <c r="E90" s="103"/>
      <c r="F90" s="105" t="str">
        <f>IF(E90="Average SHGC too high","Pass","Fail")</f>
        <v>Fail</v>
      </c>
      <c r="H90" s="9">
        <f t="shared" si="3"/>
        <v>1</v>
      </c>
    </row>
    <row r="91" spans="1:8" ht="15" hidden="1" customHeight="1" thickBot="1" x14ac:dyDescent="0.4">
      <c r="B91" s="248" t="str">
        <f>D_T03!B43</f>
        <v>Baseline Thermal Envelope UA Value</v>
      </c>
      <c r="C91" s="106"/>
      <c r="D91" s="110"/>
      <c r="E91" s="110" t="s">
        <v>63</v>
      </c>
      <c r="F91" s="105" t="s">
        <v>63</v>
      </c>
      <c r="H91" s="9">
        <f t="shared" si="3"/>
        <v>0</v>
      </c>
    </row>
    <row r="92" spans="1:8" ht="15" hidden="1" customHeight="1" thickBot="1" x14ac:dyDescent="0.4">
      <c r="B92" s="248" t="str">
        <f>D_T03!B44</f>
        <v>Total Thermal Envelope UA Result</v>
      </c>
      <c r="C92" s="106"/>
      <c r="D92" s="110"/>
      <c r="E92" s="110" t="s">
        <v>63</v>
      </c>
      <c r="F92" s="105" t="s">
        <v>63</v>
      </c>
      <c r="H92" s="9">
        <f t="shared" si="3"/>
        <v>0</v>
      </c>
    </row>
    <row r="93" spans="1:8" ht="15" hidden="1" customHeight="1" thickBot="1" x14ac:dyDescent="0.4">
      <c r="B93" s="248" t="str">
        <f>D_T03!B45</f>
        <v>House Complies?</v>
      </c>
      <c r="C93" s="106"/>
      <c r="D93" s="110"/>
      <c r="E93" s="103"/>
      <c r="F93" s="105" t="str">
        <f>IF(E93="No","Pass","Fail")</f>
        <v>Fail</v>
      </c>
      <c r="H93" s="9">
        <f t="shared" si="3"/>
        <v>1</v>
      </c>
    </row>
    <row r="94" spans="1:8" ht="21" hidden="1" customHeight="1" x14ac:dyDescent="0.6">
      <c r="B94" s="19"/>
      <c r="E94" s="24" t="s">
        <v>85</v>
      </c>
      <c r="F94" s="16" t="str">
        <f>IF(H94&gt;0,"FAIL","PASS")</f>
        <v>FAIL</v>
      </c>
      <c r="H94" s="256">
        <f xml:space="preserve"> SUM(H58:H93)</f>
        <v>27</v>
      </c>
    </row>
    <row r="95" spans="1:8" ht="7.9" hidden="1" customHeight="1" x14ac:dyDescent="0.35">
      <c r="A95" s="2"/>
      <c r="B95" s="21"/>
      <c r="C95" s="2"/>
      <c r="D95" s="2"/>
      <c r="E95" s="25"/>
      <c r="F95" s="2"/>
    </row>
    <row r="96" spans="1:8" hidden="1" x14ac:dyDescent="0.35">
      <c r="B96" s="19"/>
      <c r="E96" s="26"/>
    </row>
    <row r="97" spans="1:8" ht="7.9" customHeight="1" x14ac:dyDescent="0.35">
      <c r="A97" s="14"/>
      <c r="B97" s="23"/>
      <c r="C97" s="14"/>
      <c r="D97" s="14"/>
      <c r="E97" s="27"/>
      <c r="F97" s="14"/>
    </row>
    <row r="98" spans="1:8" x14ac:dyDescent="0.35">
      <c r="B98" s="19"/>
      <c r="E98" s="26"/>
    </row>
    <row r="99" spans="1:8" ht="32.25" customHeight="1" x14ac:dyDescent="0.35">
      <c r="B99" s="115" t="s">
        <v>25</v>
      </c>
      <c r="C99" s="258" t="s">
        <v>27</v>
      </c>
      <c r="D99" s="507" t="str">
        <f>IF(Instructions!D2="","Enter Vendor's Software Name In Instruction Sheet",Instructions!D2)</f>
        <v xml:space="preserve">EnergyGauge USA </v>
      </c>
      <c r="E99" s="507"/>
    </row>
    <row r="100" spans="1:8" x14ac:dyDescent="0.35">
      <c r="B100" s="22" t="s">
        <v>79</v>
      </c>
      <c r="E100" s="26"/>
    </row>
    <row r="101" spans="1:8" x14ac:dyDescent="0.35">
      <c r="B101" s="30" t="s">
        <v>112</v>
      </c>
      <c r="C101" s="1"/>
      <c r="D101" s="8" t="s">
        <v>84</v>
      </c>
      <c r="E101" s="28"/>
    </row>
    <row r="102" spans="1:8" x14ac:dyDescent="0.35">
      <c r="B102" s="31" t="s">
        <v>113</v>
      </c>
      <c r="C102" s="3"/>
      <c r="D102" s="3"/>
      <c r="E102" s="26"/>
    </row>
    <row r="103" spans="1:8" x14ac:dyDescent="0.35">
      <c r="B103" s="250" t="str">
        <f>D_T03!B4</f>
        <v>House Pr-T03</v>
      </c>
      <c r="C103" s="10" t="s">
        <v>77</v>
      </c>
      <c r="D103" s="10"/>
      <c r="E103" s="29" t="s">
        <v>243</v>
      </c>
      <c r="F103" s="116" t="s">
        <v>88</v>
      </c>
    </row>
    <row r="104" spans="1:8" ht="15" thickBot="1" x14ac:dyDescent="0.4">
      <c r="B104" s="19"/>
      <c r="C104" s="10" t="s">
        <v>87</v>
      </c>
      <c r="D104" s="10" t="s">
        <v>77</v>
      </c>
      <c r="E104" s="29" t="s">
        <v>86</v>
      </c>
      <c r="F104" s="116" t="s">
        <v>90</v>
      </c>
    </row>
    <row r="105" spans="1:8" ht="15" thickBot="1" x14ac:dyDescent="0.4">
      <c r="B105" s="246" t="str">
        <f>D_T03!B8</f>
        <v>Slab-on-grade Floor</v>
      </c>
      <c r="C105" s="106"/>
      <c r="D105" s="106"/>
      <c r="E105" s="110" t="s">
        <v>63</v>
      </c>
      <c r="F105" s="464" t="s">
        <v>63</v>
      </c>
      <c r="H105" s="9">
        <f t="shared" ref="H105:H140" si="5">IF(OR(F105="Not applicable",F105="Software Doesn't Check",F105="Pass"),0,1)</f>
        <v>0</v>
      </c>
    </row>
    <row r="106" spans="1:8" ht="15" thickBot="1" x14ac:dyDescent="0.4">
      <c r="B106" s="247" t="str">
        <f>D_T03!B9</f>
        <v>Roof – gable type- 5 in 12 slope No overhangs</v>
      </c>
      <c r="C106" s="106"/>
      <c r="D106" s="106"/>
      <c r="E106" s="110" t="s">
        <v>63</v>
      </c>
      <c r="F106" s="464" t="s">
        <v>63</v>
      </c>
      <c r="H106" s="9">
        <f t="shared" si="5"/>
        <v>0</v>
      </c>
    </row>
    <row r="107" spans="1:8" ht="15" thickBot="1" x14ac:dyDescent="0.4">
      <c r="B107" s="247" t="str">
        <f>D_T03!B10</f>
        <v>Ceiling1 –flat under attic</v>
      </c>
      <c r="C107" s="103" t="s">
        <v>118</v>
      </c>
      <c r="D107" s="103">
        <v>0.39</v>
      </c>
      <c r="E107" s="110" t="s">
        <v>63</v>
      </c>
      <c r="F107" s="464" t="s">
        <v>63</v>
      </c>
      <c r="H107" s="9">
        <f t="shared" si="5"/>
        <v>0</v>
      </c>
    </row>
    <row r="108" spans="1:8" ht="15" thickBot="1" x14ac:dyDescent="0.4">
      <c r="B108" s="247" t="str">
        <f>D_T03!B11</f>
        <v xml:space="preserve">        Skylight</v>
      </c>
      <c r="C108" s="110"/>
      <c r="D108" s="217">
        <f>D_T03!E11</f>
        <v>0.65</v>
      </c>
      <c r="E108" s="103" t="s">
        <v>93</v>
      </c>
      <c r="F108" s="464" t="str">
        <f>IF(E108="Complies","Pass","Fail")</f>
        <v>Pass</v>
      </c>
      <c r="H108" s="9">
        <f t="shared" si="5"/>
        <v>0</v>
      </c>
    </row>
    <row r="109" spans="1:8" ht="15" thickBot="1" x14ac:dyDescent="0.4">
      <c r="B109" s="247" t="str">
        <f>D_T03!B12</f>
        <v>Wall 1 –faces North, Wood Frame2</v>
      </c>
      <c r="C109" s="103" t="s">
        <v>83</v>
      </c>
      <c r="D109" s="103">
        <v>5.8000000000000003E-2</v>
      </c>
      <c r="E109" s="110" t="s">
        <v>63</v>
      </c>
      <c r="F109" s="464" t="s">
        <v>63</v>
      </c>
      <c r="H109" s="9">
        <f t="shared" si="5"/>
        <v>0</v>
      </c>
    </row>
    <row r="110" spans="1:8" ht="15" thickBot="1" x14ac:dyDescent="0.4">
      <c r="B110" s="247" t="str">
        <f>D_T03!B13</f>
        <v xml:space="preserve">        Door 1 - </v>
      </c>
      <c r="C110" s="110"/>
      <c r="D110" s="406">
        <f>D_T03!E13</f>
        <v>0.4</v>
      </c>
      <c r="E110" s="110" t="s">
        <v>63</v>
      </c>
      <c r="F110" s="464" t="s">
        <v>63</v>
      </c>
      <c r="H110" s="9">
        <f t="shared" si="5"/>
        <v>0</v>
      </c>
    </row>
    <row r="111" spans="1:8" ht="15" thickBot="1" x14ac:dyDescent="0.4">
      <c r="B111" s="247" t="str">
        <f>D_T03!B14</f>
        <v xml:space="preserve">        Window 1 – Vinyl Frame Low-e Double</v>
      </c>
      <c r="C111" s="110"/>
      <c r="D111" s="406">
        <f>D_T03!E14</f>
        <v>0.35</v>
      </c>
      <c r="E111" s="110" t="s">
        <v>63</v>
      </c>
      <c r="F111" s="464" t="s">
        <v>63</v>
      </c>
      <c r="H111" s="9">
        <f t="shared" si="5"/>
        <v>0</v>
      </c>
    </row>
    <row r="112" spans="1:8" ht="15" thickBot="1" x14ac:dyDescent="0.4">
      <c r="B112" s="247" t="str">
        <f>D_T03!B15</f>
        <v>Wall 2 –faces East, Wood Frame</v>
      </c>
      <c r="C112" s="103" t="s">
        <v>83</v>
      </c>
      <c r="D112" s="103">
        <v>5.8000000000000003E-2</v>
      </c>
      <c r="E112" s="110" t="s">
        <v>63</v>
      </c>
      <c r="F112" s="464" t="s">
        <v>63</v>
      </c>
      <c r="H112" s="9">
        <f t="shared" si="5"/>
        <v>0</v>
      </c>
    </row>
    <row r="113" spans="2:8" ht="15" thickBot="1" x14ac:dyDescent="0.4">
      <c r="B113" s="247" t="str">
        <f>D_T03!B16</f>
        <v xml:space="preserve">        Window 2 – Vinyl Frame Low-e Double</v>
      </c>
      <c r="C113" s="110"/>
      <c r="D113" s="406">
        <f>D_T03!E16</f>
        <v>0.35</v>
      </c>
      <c r="E113" s="110" t="s">
        <v>63</v>
      </c>
      <c r="F113" s="464" t="s">
        <v>63</v>
      </c>
      <c r="H113" s="9">
        <f t="shared" si="5"/>
        <v>0</v>
      </c>
    </row>
    <row r="114" spans="2:8" ht="15" thickBot="1" x14ac:dyDescent="0.4">
      <c r="B114" s="247" t="str">
        <f>D_T03!B17</f>
        <v>Wall 3 –faces South, Wood Frame</v>
      </c>
      <c r="C114" s="103" t="s">
        <v>83</v>
      </c>
      <c r="D114" s="103">
        <v>5.8000000000000003E-2</v>
      </c>
      <c r="E114" s="110" t="s">
        <v>63</v>
      </c>
      <c r="F114" s="464" t="s">
        <v>63</v>
      </c>
      <c r="H114" s="9">
        <f t="shared" si="5"/>
        <v>0</v>
      </c>
    </row>
    <row r="115" spans="2:8" ht="15" thickBot="1" x14ac:dyDescent="0.4">
      <c r="B115" s="247" t="str">
        <f>D_T03!B18</f>
        <v xml:space="preserve">        Window 3 – Metal Frame, Single Pane</v>
      </c>
      <c r="C115" s="110"/>
      <c r="D115" s="406">
        <f>D_T03!E18</f>
        <v>1.2</v>
      </c>
      <c r="E115" s="110" t="s">
        <v>63</v>
      </c>
      <c r="F115" s="464" t="s">
        <v>63</v>
      </c>
      <c r="H115" s="9">
        <f t="shared" si="5"/>
        <v>0</v>
      </c>
    </row>
    <row r="116" spans="2:8" ht="15" thickBot="1" x14ac:dyDescent="0.4">
      <c r="B116" s="247" t="str">
        <f>D_T03!B19</f>
        <v xml:space="preserve">Wall 4 –faces South, Wood Frame </v>
      </c>
      <c r="C116" s="103" t="s">
        <v>83</v>
      </c>
      <c r="D116" s="103">
        <v>5.8000000000000003E-2</v>
      </c>
      <c r="E116" s="110" t="s">
        <v>63</v>
      </c>
      <c r="F116" s="464" t="s">
        <v>63</v>
      </c>
      <c r="H116" s="9">
        <f t="shared" si="5"/>
        <v>0</v>
      </c>
    </row>
    <row r="117" spans="2:8" ht="15" thickBot="1" x14ac:dyDescent="0.4">
      <c r="B117" s="247" t="str">
        <f>D_T03!B20</f>
        <v xml:space="preserve">        Window 4 – Vinyl Frame  Low-e Double</v>
      </c>
      <c r="C117" s="110"/>
      <c r="D117" s="406">
        <f>D_T03!E20</f>
        <v>0.35</v>
      </c>
      <c r="E117" s="110" t="s">
        <v>63</v>
      </c>
      <c r="F117" s="464" t="s">
        <v>63</v>
      </c>
      <c r="H117" s="9">
        <f t="shared" si="5"/>
        <v>0</v>
      </c>
    </row>
    <row r="118" spans="2:8" ht="15" thickBot="1" x14ac:dyDescent="0.4">
      <c r="B118" s="247" t="str">
        <f>D_T03!B21</f>
        <v>Wall 5 –faces West, Wood Frame</v>
      </c>
      <c r="C118" s="103" t="s">
        <v>83</v>
      </c>
      <c r="D118" s="103">
        <v>5.8000000000000003E-2</v>
      </c>
      <c r="E118" s="110" t="s">
        <v>63</v>
      </c>
      <c r="F118" s="464" t="s">
        <v>63</v>
      </c>
      <c r="H118" s="9">
        <f t="shared" si="5"/>
        <v>0</v>
      </c>
    </row>
    <row r="119" spans="2:8" ht="15" thickBot="1" x14ac:dyDescent="0.4">
      <c r="B119" s="247" t="str">
        <f>D_T03!B22</f>
        <v xml:space="preserve">        Window 5 – Vinyl Frame Low-e Double</v>
      </c>
      <c r="C119" s="106"/>
      <c r="D119" s="405">
        <f>D_T03!E22</f>
        <v>0.35</v>
      </c>
      <c r="E119" s="110" t="s">
        <v>63</v>
      </c>
      <c r="F119" s="464" t="s">
        <v>63</v>
      </c>
      <c r="H119" s="9">
        <f t="shared" si="5"/>
        <v>0</v>
      </c>
    </row>
    <row r="120" spans="2:8" ht="15" thickBot="1" x14ac:dyDescent="0.4">
      <c r="B120" s="247" t="str">
        <f>D_T03!B23</f>
        <v>Infiltration</v>
      </c>
      <c r="C120" s="106"/>
      <c r="D120" s="106"/>
      <c r="E120" s="112" t="s">
        <v>93</v>
      </c>
      <c r="F120" s="105" t="str">
        <f>IF(E120="Complies","Pass",IF(E120="Not part of software","Software Doesn't Check","Fail"))</f>
        <v>Pass</v>
      </c>
      <c r="H120" s="9">
        <f t="shared" si="5"/>
        <v>0</v>
      </c>
    </row>
    <row r="121" spans="2:8" ht="15" thickBot="1" x14ac:dyDescent="0.4">
      <c r="B121" s="247" t="str">
        <f>D_T03!B24</f>
        <v>Heating – heat pump</v>
      </c>
      <c r="C121" s="106"/>
      <c r="D121" s="106"/>
      <c r="E121" s="113" t="s">
        <v>93</v>
      </c>
      <c r="F121" s="105" t="str">
        <f>IF(E121="Complies","Pass",IF(E121="Not part of software","Software Doesn't Check","Fail"))</f>
        <v>Pass</v>
      </c>
      <c r="H121" s="9">
        <f t="shared" si="5"/>
        <v>0</v>
      </c>
    </row>
    <row r="122" spans="2:8" ht="15" thickBot="1" x14ac:dyDescent="0.4">
      <c r="B122" s="247" t="str">
        <f>D_T03!B25</f>
        <v>Cooling – heat pump</v>
      </c>
      <c r="C122" s="106"/>
      <c r="D122" s="106"/>
      <c r="E122" s="112" t="s">
        <v>93</v>
      </c>
      <c r="F122" s="105" t="str">
        <f>IF(E122="Complies","Pass",IF(E122="Not part of software","Software Doesn't Check","Fail"))</f>
        <v>Pass</v>
      </c>
      <c r="H122" s="9">
        <f t="shared" si="5"/>
        <v>0</v>
      </c>
    </row>
    <row r="123" spans="2:8" ht="15" thickBot="1" x14ac:dyDescent="0.4">
      <c r="B123" s="247" t="str">
        <f>D_T03!B26</f>
        <v>Ducts – supply in attic</v>
      </c>
      <c r="C123" s="106"/>
      <c r="D123" s="106"/>
      <c r="E123" s="112" t="s">
        <v>93</v>
      </c>
      <c r="F123" s="105" t="str">
        <f>IF(E123="Complies","Pass",IF(E123="Not part of software","Software Doesn't Check","Fail"))</f>
        <v>Pass</v>
      </c>
      <c r="H123" s="9">
        <f t="shared" si="5"/>
        <v>0</v>
      </c>
    </row>
    <row r="124" spans="2:8" ht="15" thickBot="1" x14ac:dyDescent="0.4">
      <c r="B124" s="247" t="str">
        <f>D_T03!B27</f>
        <v>Ducts – Return in Conditioned Space</v>
      </c>
      <c r="C124" s="106"/>
      <c r="D124" s="106"/>
      <c r="E124" s="112" t="s">
        <v>93</v>
      </c>
      <c r="F124" s="105" t="str">
        <f t="shared" ref="F124:F132" si="6">IF(E124="Complies","Pass",IF(E124="Not part of software","Software Doesn't Check","Fail"))</f>
        <v>Pass</v>
      </c>
      <c r="H124" s="9">
        <f t="shared" si="5"/>
        <v>0</v>
      </c>
    </row>
    <row r="125" spans="2:8" ht="15" thickBot="1" x14ac:dyDescent="0.4">
      <c r="B125" s="247" t="str">
        <f>D_T03!B28</f>
        <v>Duct Tightness</v>
      </c>
      <c r="C125" s="106"/>
      <c r="D125" s="106"/>
      <c r="E125" s="112" t="s">
        <v>93</v>
      </c>
      <c r="F125" s="105" t="str">
        <f t="shared" si="6"/>
        <v>Pass</v>
      </c>
      <c r="H125" s="9">
        <f t="shared" si="5"/>
        <v>0</v>
      </c>
    </row>
    <row r="126" spans="2:8" ht="15" thickBot="1" x14ac:dyDescent="0.4">
      <c r="B126" s="247" t="str">
        <f>D_T03!B29</f>
        <v>Air Handler – in Conditioned Space</v>
      </c>
      <c r="C126" s="106"/>
      <c r="D126" s="106"/>
      <c r="E126" s="112" t="s">
        <v>93</v>
      </c>
      <c r="F126" s="105" t="str">
        <f t="shared" si="6"/>
        <v>Pass</v>
      </c>
      <c r="H126" s="9">
        <f t="shared" si="5"/>
        <v>0</v>
      </c>
    </row>
    <row r="127" spans="2:8" ht="15" thickBot="1" x14ac:dyDescent="0.4">
      <c r="B127" s="247" t="str">
        <f>D_T03!B30</f>
        <v>Mechanical Ventilation</v>
      </c>
      <c r="C127" s="106"/>
      <c r="D127" s="106"/>
      <c r="E127" s="103" t="s">
        <v>93</v>
      </c>
      <c r="F127" s="105" t="str">
        <f t="shared" si="6"/>
        <v>Pass</v>
      </c>
      <c r="H127" s="9">
        <f t="shared" si="5"/>
        <v>0</v>
      </c>
    </row>
    <row r="128" spans="2:8" ht="15" thickBot="1" x14ac:dyDescent="0.4">
      <c r="B128" s="247" t="str">
        <f>D_T03!B31</f>
        <v>Hot Water System - electric</v>
      </c>
      <c r="C128" s="106"/>
      <c r="D128" s="106"/>
      <c r="E128" s="112" t="s">
        <v>93</v>
      </c>
      <c r="F128" s="105" t="str">
        <f t="shared" si="6"/>
        <v>Pass</v>
      </c>
      <c r="H128" s="9">
        <f t="shared" si="5"/>
        <v>0</v>
      </c>
    </row>
    <row r="129" spans="1:8" ht="15" thickBot="1" x14ac:dyDescent="0.4">
      <c r="B129" s="247" t="str">
        <f>D_T03!B32</f>
        <v>All Hot Water Lines</v>
      </c>
      <c r="C129" s="106"/>
      <c r="D129" s="106"/>
      <c r="E129" s="112" t="s">
        <v>56</v>
      </c>
      <c r="F129" s="105" t="str">
        <f t="shared" si="6"/>
        <v>Software Doesn't Check</v>
      </c>
      <c r="H129" s="9">
        <f t="shared" si="5"/>
        <v>0</v>
      </c>
    </row>
    <row r="130" spans="1:8" ht="15" thickBot="1" x14ac:dyDescent="0.4">
      <c r="B130" s="247" t="str">
        <f>D_T03!B33</f>
        <v>Hot Water Circulation -none</v>
      </c>
      <c r="C130" s="106"/>
      <c r="D130" s="106"/>
      <c r="E130" s="112" t="s">
        <v>56</v>
      </c>
      <c r="F130" s="105" t="str">
        <f t="shared" si="6"/>
        <v>Software Doesn't Check</v>
      </c>
      <c r="H130" s="9">
        <f t="shared" si="5"/>
        <v>0</v>
      </c>
    </row>
    <row r="131" spans="1:8" ht="15" thickBot="1" x14ac:dyDescent="0.4">
      <c r="B131" s="247" t="str">
        <f>D_T03!B34</f>
        <v>Lighting</v>
      </c>
      <c r="C131" s="106"/>
      <c r="D131" s="106"/>
      <c r="E131" s="112" t="s">
        <v>93</v>
      </c>
      <c r="F131" s="105" t="str">
        <f t="shared" si="6"/>
        <v>Pass</v>
      </c>
      <c r="H131" s="9">
        <f t="shared" si="5"/>
        <v>0</v>
      </c>
    </row>
    <row r="132" spans="1:8" ht="15" thickBot="1" x14ac:dyDescent="0.4">
      <c r="B132" s="247" t="str">
        <f>D_T03!B35</f>
        <v>Pool and Spa - none</v>
      </c>
      <c r="C132" s="106"/>
      <c r="D132" s="106"/>
      <c r="E132" s="112" t="s">
        <v>56</v>
      </c>
      <c r="F132" s="105" t="str">
        <f t="shared" si="6"/>
        <v>Software Doesn't Check</v>
      </c>
      <c r="H132" s="9">
        <f t="shared" si="5"/>
        <v>0</v>
      </c>
    </row>
    <row r="133" spans="1:8" ht="15" thickBot="1" x14ac:dyDescent="0.4">
      <c r="B133" s="248" t="str">
        <f>D_T03!B38</f>
        <v>Area Weighted Fenestration U-Factor Value</v>
      </c>
      <c r="C133" s="106"/>
      <c r="D133" s="106"/>
      <c r="E133" s="110"/>
      <c r="F133" s="105" t="s">
        <v>63</v>
      </c>
      <c r="H133" s="9">
        <f t="shared" si="5"/>
        <v>0</v>
      </c>
    </row>
    <row r="134" spans="1:8" ht="15" thickBot="1" x14ac:dyDescent="0.4">
      <c r="B134" s="248" t="str">
        <f>D_T03!B39</f>
        <v>Area Weighted Fenestration SHGC Value</v>
      </c>
      <c r="C134" s="106"/>
      <c r="D134" s="106"/>
      <c r="E134" s="103">
        <v>0.27400000000000002</v>
      </c>
      <c r="F134" s="105" t="str">
        <f>IF(E134&gt;UA_T03!S27,IF(E134&lt;=UA_T03!S28,"Pass","Fail"),"Fail")</f>
        <v>Pass</v>
      </c>
      <c r="H134" s="9">
        <f t="shared" si="5"/>
        <v>0</v>
      </c>
    </row>
    <row r="135" spans="1:8" ht="15" thickBot="1" x14ac:dyDescent="0.4">
      <c r="B135" s="248" t="str">
        <f>D_T03!B40</f>
        <v>Total Thermal Envelope UA Value</v>
      </c>
      <c r="C135" s="106"/>
      <c r="D135" s="106"/>
      <c r="E135" s="103">
        <v>298.10000000000002</v>
      </c>
      <c r="F135" s="105" t="str">
        <f>IF(E135&gt;=UA_T03!H27,IF(E135&lt;=UA_T03!H28,"Pass","Fail"),"Fail")</f>
        <v>Pass</v>
      </c>
      <c r="H135" s="9">
        <f t="shared" si="5"/>
        <v>0</v>
      </c>
    </row>
    <row r="136" spans="1:8" ht="15" thickBot="1" x14ac:dyDescent="0.4">
      <c r="B136" s="248" t="str">
        <f>D_T03!B41</f>
        <v>Area Weighted Fenestration U-Factor Result</v>
      </c>
      <c r="C136" s="106"/>
      <c r="D136" s="106"/>
      <c r="E136" s="110">
        <v>0.7</v>
      </c>
      <c r="F136" s="105" t="s">
        <v>63</v>
      </c>
      <c r="H136" s="9">
        <f t="shared" si="5"/>
        <v>0</v>
      </c>
    </row>
    <row r="137" spans="1:8" ht="15" thickBot="1" x14ac:dyDescent="0.4">
      <c r="B137" s="248" t="str">
        <f>D_T03!B42</f>
        <v>Area Weighted Fenestration SHGC Result</v>
      </c>
      <c r="C137" s="106"/>
      <c r="D137" s="106"/>
      <c r="E137" s="103" t="s">
        <v>74</v>
      </c>
      <c r="F137" s="105" t="str">
        <f>IF(E137="Average SHGC too high","Pass","Fail")</f>
        <v>Pass</v>
      </c>
      <c r="H137" s="9">
        <f t="shared" si="5"/>
        <v>0</v>
      </c>
    </row>
    <row r="138" spans="1:8" ht="18" customHeight="1" thickBot="1" x14ac:dyDescent="0.4">
      <c r="B138" s="248" t="str">
        <f>D_T03!B43</f>
        <v>Baseline Thermal Envelope UA Value</v>
      </c>
      <c r="C138" s="106"/>
      <c r="D138" s="106"/>
      <c r="E138" s="103">
        <v>314.60000000000002</v>
      </c>
      <c r="F138" s="105" t="str">
        <f>IF(E138&gt;=UA_T03!J27,IF(E138&lt;=UA_T03!J28,"Pass","Fail"),"Fail")</f>
        <v>Pass</v>
      </c>
      <c r="H138" s="9">
        <f t="shared" si="5"/>
        <v>0</v>
      </c>
    </row>
    <row r="139" spans="1:8" ht="15" thickBot="1" x14ac:dyDescent="0.4">
      <c r="B139" s="248" t="str">
        <f>D_T03!B44</f>
        <v>Total Thermal Envelope UA Result</v>
      </c>
      <c r="C139" s="106"/>
      <c r="D139" s="106"/>
      <c r="E139" s="103" t="s">
        <v>93</v>
      </c>
      <c r="F139" s="105" t="str">
        <f>IF(E139="Complies","Pass","Fail")</f>
        <v>Pass</v>
      </c>
      <c r="H139" s="9">
        <f t="shared" si="5"/>
        <v>0</v>
      </c>
    </row>
    <row r="140" spans="1:8" ht="15" thickBot="1" x14ac:dyDescent="0.4">
      <c r="B140" s="248" t="str">
        <f>D_T03!B45</f>
        <v>House Complies?</v>
      </c>
      <c r="C140" s="106"/>
      <c r="D140" s="106"/>
      <c r="E140" s="103" t="s">
        <v>120</v>
      </c>
      <c r="F140" s="105" t="str">
        <f>IF(E140="No","Pass","Fail")</f>
        <v>Pass</v>
      </c>
      <c r="H140" s="9">
        <f t="shared" si="5"/>
        <v>0</v>
      </c>
    </row>
    <row r="141" spans="1:8" ht="21.65" customHeight="1" x14ac:dyDescent="0.6">
      <c r="E141" s="15" t="s">
        <v>85</v>
      </c>
      <c r="F141" s="16" t="str">
        <f>IF(H141&gt;0,"FAIL","PASS")</f>
        <v>PASS</v>
      </c>
      <c r="H141" s="256">
        <f xml:space="preserve"> SUM(H105:H140)</f>
        <v>0</v>
      </c>
    </row>
    <row r="142" spans="1:8" ht="8.5" customHeight="1" x14ac:dyDescent="0.35">
      <c r="A142" s="14"/>
      <c r="B142" s="14"/>
      <c r="C142" s="14"/>
      <c r="D142" s="14"/>
      <c r="E142" s="14"/>
      <c r="F142" s="14"/>
      <c r="G142" s="14"/>
    </row>
  </sheetData>
  <sheetProtection algorithmName="SHA-512" hashValue="yQKsIP4aDtZ744FyRHKM7Louamg4BvaKSOvP4p4Tq6j9EvyPfXHMgIjURuKAF0TgliMJEzyzXWxAl0gFbVq5yA==" saltValue="iKZsVwQx+N/ZQIpifRtlZQ==" spinCount="100000" sheet="1" objects="1" scenarios="1"/>
  <mergeCells count="3">
    <mergeCell ref="D3:E3"/>
    <mergeCell ref="D52:E52"/>
    <mergeCell ref="D99:E99"/>
  </mergeCells>
  <dataValidations count="28">
    <dataValidation type="list" allowBlank="1" showInputMessage="1" showErrorMessage="1" sqref="C11 E58">
      <formula1>Floor</formula1>
    </dataValidation>
    <dataValidation type="list" allowBlank="1" showInputMessage="1" showErrorMessage="1" sqref="C12 E59">
      <formula1>Roof</formula1>
    </dataValidation>
    <dataValidation type="list" allowBlank="1" showInputMessage="1" showErrorMessage="1" sqref="C13 E60">
      <formula1>Ceiling</formula1>
    </dataValidation>
    <dataValidation type="list" allowBlank="1" showInputMessage="1" showErrorMessage="1" sqref="C14 C61 E61 C108 E108">
      <formula1>Skylight</formula1>
    </dataValidation>
    <dataValidation type="list" allowBlank="1" showInputMessage="1" showErrorMessage="1" sqref="C16 C110 E63">
      <formula1>Door</formula1>
    </dataValidation>
    <dataValidation type="list" allowBlank="1" showInputMessage="1" showErrorMessage="1" sqref="C17 C19 C21 C23 C25 E68 E64 C113 E66 E119 E113 E110:E111 E115 E117 E70 C115 E72 C117 C119 C111">
      <formula1>Window</formula1>
    </dataValidation>
    <dataValidation type="list" allowBlank="1" showInputMessage="1" showErrorMessage="1" sqref="C26 E73 E120">
      <formula1>Infiltration</formula1>
    </dataValidation>
    <dataValidation type="list" allowBlank="1" showInputMessage="1" showErrorMessage="1" sqref="C27 E74 E121">
      <formula1>Heating</formula1>
    </dataValidation>
    <dataValidation type="list" allowBlank="1" showInputMessage="1" showErrorMessage="1" sqref="C28 E75 E122">
      <formula1>Cooling</formula1>
    </dataValidation>
    <dataValidation type="list" allowBlank="1" showInputMessage="1" showErrorMessage="1" sqref="C29 E76 E123">
      <formula1>SupplyDucts</formula1>
    </dataValidation>
    <dataValidation type="list" allowBlank="1" showInputMessage="1" showErrorMessage="1" sqref="C30 E77 E124">
      <formula1>ReturnDucts</formula1>
    </dataValidation>
    <dataValidation type="list" allowBlank="1" showInputMessage="1" showErrorMessage="1" sqref="C31 E78 E125">
      <formula1>DuctTightness</formula1>
    </dataValidation>
    <dataValidation type="list" allowBlank="1" showInputMessage="1" showErrorMessage="1" sqref="C32 E79 E126">
      <formula1>AirHandler</formula1>
    </dataValidation>
    <dataValidation type="list" allowBlank="1" showInputMessage="1" showErrorMessage="1" sqref="C34 E81 E128">
      <formula1>HotWaterSystem</formula1>
    </dataValidation>
    <dataValidation type="list" allowBlank="1" showInputMessage="1" showErrorMessage="1" sqref="C35 E82 E129">
      <formula1>HotWaterLines</formula1>
    </dataValidation>
    <dataValidation type="list" allowBlank="1" showInputMessage="1" showErrorMessage="1" sqref="C36 E83 E130">
      <formula1>HotWaterCirculation</formula1>
    </dataValidation>
    <dataValidation type="list" allowBlank="1" showInputMessage="1" showErrorMessage="1" sqref="C37 E84 E131">
      <formula1>Lighting</formula1>
    </dataValidation>
    <dataValidation type="list" allowBlank="1" showInputMessage="1" showErrorMessage="1" sqref="C38 E85 E132">
      <formula1>PoolandSpa</formula1>
    </dataValidation>
    <dataValidation type="list" allowBlank="1" showInputMessage="1" showErrorMessage="1" sqref="C15 C18 C20 C22 C24 E71 E62 E65 E69 E67">
      <formula1>Wall</formula1>
    </dataValidation>
    <dataValidation type="decimal" allowBlank="1" showInputMessage="1" showErrorMessage="1" sqref="C39 D72 D61 D110:D111 D63:D64 D66 D68 D113 D115 D117 D108 D70 D119">
      <formula1>0</formula1>
      <formula2>2</formula2>
    </dataValidation>
    <dataValidation type="decimal" allowBlank="1" showInputMessage="1" showErrorMessage="1" sqref="D107 D65 D60 D62 C40 D109 D112 D118 D116 D114 D71 D69 D67">
      <formula1>0</formula1>
      <formula2>1</formula2>
    </dataValidation>
    <dataValidation type="list" allowBlank="1" showInputMessage="1" showErrorMessage="1" sqref="C42 E89">
      <formula1>OverallFenU</formula1>
    </dataValidation>
    <dataValidation type="list" allowBlank="1" showInputMessage="1" showErrorMessage="1" sqref="C43 E90 E137">
      <formula1>OverallFenSHGC</formula1>
    </dataValidation>
    <dataValidation type="list" allowBlank="1" showInputMessage="1" showErrorMessage="1" sqref="C41 C44:C45 E139">
      <formula1>TotalUA</formula1>
    </dataValidation>
    <dataValidation type="decimal" allowBlank="1" showInputMessage="1" showErrorMessage="1" sqref="D135 D138">
      <formula1>0</formula1>
      <formula2>1000</formula2>
    </dataValidation>
    <dataValidation type="list" allowBlank="1" showInputMessage="1" showErrorMessage="1" sqref="C60 C107 C109 C112 C114 C116 C118 C62 C65 C67 C69 C71">
      <formula1>UCalcMethod</formula1>
    </dataValidation>
    <dataValidation type="list" allowBlank="1" showInputMessage="1" showErrorMessage="1" sqref="E93 C46 E140">
      <formula1>Complies</formula1>
    </dataValidation>
    <dataValidation type="list" allowBlank="1" showInputMessage="1" showErrorMessage="1" sqref="E127 E80 C33">
      <formula1>MechanicalVent</formula1>
    </dataValidation>
  </dataValidations>
  <pageMargins left="0.7" right="0.7" top="0.75" bottom="0.75" header="0.3" footer="0.3"/>
  <pageSetup scale="66" orientation="portrait" r:id="rId1"/>
  <rowBreaks count="2" manualBreakCount="2">
    <brk id="48" max="5" man="1"/>
    <brk id="95" max="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2:T96"/>
  <sheetViews>
    <sheetView zoomScaleNormal="100" zoomScaleSheetLayoutView="40" workbookViewId="0">
      <selection activeCell="B2" sqref="B2"/>
    </sheetView>
  </sheetViews>
  <sheetFormatPr defaultColWidth="9.1796875" defaultRowHeight="14.5" x14ac:dyDescent="0.35"/>
  <cols>
    <col min="1" max="1" width="4.54296875" style="305" customWidth="1"/>
    <col min="2" max="2" width="8.26953125" style="305" customWidth="1"/>
    <col min="3" max="3" width="49.81640625" style="305" customWidth="1"/>
    <col min="4" max="5" width="12.7265625" style="305" customWidth="1"/>
    <col min="6" max="6" width="13.26953125" style="305" customWidth="1"/>
    <col min="7" max="7" width="11.54296875" style="305" customWidth="1"/>
    <col min="8" max="8" width="11.26953125" style="305" customWidth="1"/>
    <col min="9" max="10" width="11.1796875" style="305" customWidth="1"/>
    <col min="11" max="11" width="12" style="305" customWidth="1"/>
    <col min="12" max="12" width="12.54296875" style="305" customWidth="1"/>
    <col min="13" max="13" width="10.54296875" style="305" customWidth="1"/>
    <col min="14" max="14" width="12" style="305" customWidth="1"/>
    <col min="15" max="15" width="10.1796875" style="305" customWidth="1"/>
    <col min="16" max="20" width="12" style="305" customWidth="1"/>
    <col min="21" max="16384" width="9.1796875" style="305"/>
  </cols>
  <sheetData>
    <row r="2" spans="2:20" x14ac:dyDescent="0.35">
      <c r="B2" s="450"/>
      <c r="C2" s="450"/>
      <c r="D2" s="450"/>
      <c r="E2" s="450"/>
      <c r="F2" s="451"/>
    </row>
    <row r="3" spans="2:20" x14ac:dyDescent="0.35">
      <c r="B3" s="450" t="str">
        <f>D_T03!B3</f>
        <v>Single Family Detached Home with No Attached Garage, Single Story, Three bedroom.</v>
      </c>
      <c r="C3" s="450"/>
      <c r="D3" s="450"/>
      <c r="E3" s="450"/>
      <c r="F3" s="451"/>
    </row>
    <row r="4" spans="2:20" x14ac:dyDescent="0.35">
      <c r="E4" s="261"/>
    </row>
    <row r="5" spans="2:20" ht="18.75" customHeight="1" x14ac:dyDescent="0.35">
      <c r="B5" s="326" t="s">
        <v>411</v>
      </c>
      <c r="C5" s="326"/>
      <c r="D5" s="326"/>
      <c r="E5" s="326"/>
      <c r="F5" s="326"/>
      <c r="G5" s="326"/>
      <c r="H5" s="326"/>
      <c r="I5" s="326"/>
      <c r="J5" s="326"/>
      <c r="K5" s="513" t="str">
        <f>Selections!K18</f>
        <v>Fenestration Area</v>
      </c>
      <c r="L5" s="514"/>
      <c r="M5" s="515" t="str">
        <f>Selections!M18</f>
        <v>Rvalue Method</v>
      </c>
      <c r="N5" s="514"/>
      <c r="O5" s="515" t="str">
        <f>Selections!O18</f>
        <v>Uvalue Method</v>
      </c>
      <c r="P5" s="514"/>
      <c r="Q5" s="515" t="str">
        <f>Selections!Q18</f>
        <v>Rvalue Method</v>
      </c>
      <c r="R5" s="514"/>
      <c r="S5" s="515" t="str">
        <f>Selections!S18</f>
        <v>Uvalue Method</v>
      </c>
      <c r="T5" s="514"/>
    </row>
    <row r="6" spans="2:20" ht="48" customHeight="1" x14ac:dyDescent="0.35">
      <c r="B6" s="226"/>
      <c r="C6" s="227"/>
      <c r="D6" s="516" t="str">
        <f>Selections!D19</f>
        <v>Envelope Geometry (Area)</v>
      </c>
      <c r="E6" s="517"/>
      <c r="F6" s="518"/>
      <c r="G6" s="519" t="str">
        <f>Selections!G19</f>
        <v>Proposed Home</v>
      </c>
      <c r="H6" s="520"/>
      <c r="I6" s="519" t="str">
        <f>Selections!I19</f>
        <v>Reference Home</v>
      </c>
      <c r="J6" s="520"/>
      <c r="K6" s="511" t="str">
        <f>Selections!K19</f>
        <v>Compliance Method Fenestration Area</v>
      </c>
      <c r="L6" s="512"/>
      <c r="M6" s="511" t="str">
        <f>Selections!M19</f>
        <v>Window Area Weighted Avg Proposed U-Factor</v>
      </c>
      <c r="N6" s="512"/>
      <c r="O6" s="511" t="str">
        <f>Selections!O19</f>
        <v>Window Area Weighted Avg Proposed U-Factor</v>
      </c>
      <c r="P6" s="512"/>
      <c r="Q6" s="511" t="str">
        <f>Selections!Q19</f>
        <v>Window Area Weighted Avg Proposed SHGC</v>
      </c>
      <c r="R6" s="512"/>
      <c r="S6" s="511" t="str">
        <f>Selections!S19</f>
        <v>Window Area Weighted Avg Proposed SHGC</v>
      </c>
      <c r="T6" s="512"/>
    </row>
    <row r="7" spans="2:20" ht="39.75" customHeight="1" thickBot="1" x14ac:dyDescent="0.4">
      <c r="B7" s="231"/>
      <c r="C7" s="232" t="str">
        <f>Selections!C20</f>
        <v>Envelope Name</v>
      </c>
      <c r="D7" s="233" t="str">
        <f>Selections!D20</f>
        <v>Envelope Type</v>
      </c>
      <c r="E7" s="233" t="str">
        <f>Selections!E20</f>
        <v>Gross Area</v>
      </c>
      <c r="F7" s="233" t="str">
        <f>Selections!F20</f>
        <v>Net Area</v>
      </c>
      <c r="G7" s="234" t="str">
        <f>Selections!G20</f>
        <v>U-Factor Proposed</v>
      </c>
      <c r="H7" s="235" t="str">
        <f>Selections!H20</f>
        <v>UA-Value Proposed</v>
      </c>
      <c r="I7" s="233" t="str">
        <f>Selections!I20</f>
        <v>U-Factor Reference</v>
      </c>
      <c r="J7" s="235" t="str">
        <f>Selections!J20</f>
        <v>UA-Value Reference</v>
      </c>
      <c r="K7" s="236" t="str">
        <f>Selections!K20</f>
        <v>R-Value Method</v>
      </c>
      <c r="L7" s="236" t="str">
        <f>Selections!L20</f>
        <v>U-Factor Method</v>
      </c>
      <c r="M7" s="236" t="str">
        <f>Selections!M20</f>
        <v>U-Factor</v>
      </c>
      <c r="N7" s="236" t="str">
        <f>Selections!N20</f>
        <v>UA-Value</v>
      </c>
      <c r="O7" s="236" t="str">
        <f>Selections!O20</f>
        <v>U-Factor</v>
      </c>
      <c r="P7" s="236" t="str">
        <f>Selections!P20</f>
        <v>UA-Value</v>
      </c>
      <c r="Q7" s="236" t="str">
        <f>Selections!Q20</f>
        <v>SHGC</v>
      </c>
      <c r="R7" s="236" t="str">
        <f>Selections!R20</f>
        <v>SHGC x Area</v>
      </c>
      <c r="S7" s="236" t="str">
        <f>Selections!S20</f>
        <v>SHGC</v>
      </c>
      <c r="T7" s="236" t="str">
        <f>Selections!T20</f>
        <v>SHGC x Area</v>
      </c>
    </row>
    <row r="8" spans="2:20" ht="15" customHeight="1" thickTop="1" x14ac:dyDescent="0.35">
      <c r="B8" s="303">
        <v>1</v>
      </c>
      <c r="C8" s="223" t="str">
        <f>D_T03!B8</f>
        <v>Slab-on-grade Floor</v>
      </c>
      <c r="D8" s="38" t="s">
        <v>30</v>
      </c>
      <c r="E8" s="39"/>
      <c r="F8" s="40"/>
      <c r="G8" s="41"/>
      <c r="H8" s="40"/>
      <c r="I8" s="287"/>
      <c r="J8" s="287"/>
      <c r="K8" s="38"/>
      <c r="L8" s="40"/>
      <c r="M8" s="39"/>
      <c r="N8" s="40"/>
      <c r="O8" s="43"/>
      <c r="P8" s="40"/>
      <c r="Q8" s="43"/>
      <c r="R8" s="40"/>
      <c r="S8" s="43"/>
      <c r="T8" s="40"/>
    </row>
    <row r="9" spans="2:20" ht="15" customHeight="1" x14ac:dyDescent="0.35">
      <c r="B9" s="262">
        <v>2</v>
      </c>
      <c r="C9" s="224" t="str">
        <f>D_T03!B9</f>
        <v>Roof – gable type- 5 in 12 slope No overhangs</v>
      </c>
      <c r="D9" s="46" t="s">
        <v>33</v>
      </c>
      <c r="E9" s="263"/>
      <c r="F9" s="48"/>
      <c r="G9" s="46"/>
      <c r="H9" s="48"/>
      <c r="I9" s="263"/>
      <c r="J9" s="263"/>
      <c r="K9" s="46"/>
      <c r="L9" s="48"/>
      <c r="M9" s="263"/>
      <c r="N9" s="48"/>
      <c r="O9" s="262"/>
      <c r="P9" s="48"/>
      <c r="Q9" s="262"/>
      <c r="R9" s="48"/>
      <c r="S9" s="262"/>
      <c r="T9" s="48"/>
    </row>
    <row r="10" spans="2:20" ht="15" customHeight="1" x14ac:dyDescent="0.35">
      <c r="B10" s="262">
        <v>3</v>
      </c>
      <c r="C10" s="224" t="str">
        <f>D_T03!B10</f>
        <v>Ceiling1 –flat under attic</v>
      </c>
      <c r="D10" s="46" t="s">
        <v>34</v>
      </c>
      <c r="E10" s="133">
        <f>D_T03!G10</f>
        <v>2000</v>
      </c>
      <c r="F10" s="205">
        <f>E10-E11</f>
        <v>1990</v>
      </c>
      <c r="G10" s="206">
        <f>D57</f>
        <v>3.9177480803834021E-2</v>
      </c>
      <c r="H10" s="202">
        <f t="shared" ref="H10:H22" si="0">$G10*$F10</f>
        <v>77.963186799629696</v>
      </c>
      <c r="I10" s="136">
        <f>D35</f>
        <v>0.03</v>
      </c>
      <c r="J10" s="124">
        <f t="shared" ref="J10:J22" si="1">$I10*$F10</f>
        <v>59.699999999999996</v>
      </c>
      <c r="K10" s="50"/>
      <c r="L10" s="49"/>
      <c r="M10" s="263"/>
      <c r="N10" s="48"/>
      <c r="O10" s="262"/>
      <c r="P10" s="48"/>
      <c r="Q10" s="262"/>
      <c r="R10" s="48"/>
      <c r="S10" s="262"/>
      <c r="T10" s="48"/>
    </row>
    <row r="11" spans="2:20" ht="15" customHeight="1" x14ac:dyDescent="0.35">
      <c r="B11" s="262">
        <v>4</v>
      </c>
      <c r="C11" s="224" t="str">
        <f>D_T03!B11</f>
        <v xml:space="preserve">        Skylight</v>
      </c>
      <c r="D11" s="46" t="s">
        <v>35</v>
      </c>
      <c r="E11" s="133">
        <f>D_T03!G11</f>
        <v>10</v>
      </c>
      <c r="F11" s="205">
        <f>E11</f>
        <v>10</v>
      </c>
      <c r="G11" s="206">
        <f>D_T03!E11</f>
        <v>0.65</v>
      </c>
      <c r="H11" s="202">
        <f t="shared" si="0"/>
        <v>6.5</v>
      </c>
      <c r="I11" s="136">
        <f>D37</f>
        <v>0.65</v>
      </c>
      <c r="J11" s="124">
        <f t="shared" si="1"/>
        <v>6.5</v>
      </c>
      <c r="K11" s="201">
        <f>E11</f>
        <v>10</v>
      </c>
      <c r="L11" s="202">
        <f>E11</f>
        <v>10</v>
      </c>
      <c r="M11" s="136">
        <f>$G11</f>
        <v>0.65</v>
      </c>
      <c r="N11" s="202">
        <f>K11*M11</f>
        <v>6.5</v>
      </c>
      <c r="O11" s="339">
        <f>$G11</f>
        <v>0.65</v>
      </c>
      <c r="P11" s="202">
        <f>O11*L11</f>
        <v>6.5</v>
      </c>
      <c r="Q11" s="339">
        <f>D_T03!F11</f>
        <v>0.25</v>
      </c>
      <c r="R11" s="202">
        <f>K11*Q11</f>
        <v>2.5</v>
      </c>
      <c r="S11" s="339">
        <f>$Q11</f>
        <v>0.25</v>
      </c>
      <c r="T11" s="202">
        <f>S11*L11</f>
        <v>2.5</v>
      </c>
    </row>
    <row r="12" spans="2:20" ht="15" customHeight="1" x14ac:dyDescent="0.35">
      <c r="B12" s="262">
        <v>5</v>
      </c>
      <c r="C12" s="224" t="str">
        <f>D_T03!B12</f>
        <v>Wall 1 –faces North, Wood Frame2</v>
      </c>
      <c r="D12" s="46" t="s">
        <v>36</v>
      </c>
      <c r="E12" s="133">
        <f>D_T03!G12</f>
        <v>500</v>
      </c>
      <c r="F12" s="205">
        <f>E12-E13-E14</f>
        <v>401</v>
      </c>
      <c r="G12" s="206">
        <f>D76</f>
        <v>5.7978201719387987E-2</v>
      </c>
      <c r="H12" s="202">
        <f>$G12*$F12</f>
        <v>23.249258889474582</v>
      </c>
      <c r="I12" s="136">
        <f>D36</f>
        <v>8.2000000000000003E-2</v>
      </c>
      <c r="J12" s="124">
        <f t="shared" si="1"/>
        <v>32.881999999999998</v>
      </c>
      <c r="K12" s="201"/>
      <c r="L12" s="202"/>
      <c r="M12" s="133"/>
      <c r="N12" s="203"/>
      <c r="O12" s="338"/>
      <c r="P12" s="203"/>
      <c r="Q12" s="338"/>
      <c r="R12" s="203"/>
      <c r="S12" s="339"/>
      <c r="T12" s="203"/>
    </row>
    <row r="13" spans="2:20" ht="15" customHeight="1" x14ac:dyDescent="0.35">
      <c r="B13" s="262">
        <v>6</v>
      </c>
      <c r="C13" s="224" t="str">
        <f>D_T03!B13</f>
        <v xml:space="preserve">        Door 1 - </v>
      </c>
      <c r="D13" s="46" t="s">
        <v>38</v>
      </c>
      <c r="E13" s="133">
        <f>D_T03!G13</f>
        <v>24</v>
      </c>
      <c r="F13" s="205">
        <f>E13</f>
        <v>24</v>
      </c>
      <c r="G13" s="206">
        <f>D_T03!E13</f>
        <v>0.4</v>
      </c>
      <c r="H13" s="202">
        <f t="shared" si="0"/>
        <v>9.6000000000000014</v>
      </c>
      <c r="I13" s="136">
        <f>D38</f>
        <v>0.4</v>
      </c>
      <c r="J13" s="124">
        <f t="shared" si="1"/>
        <v>9.6000000000000014</v>
      </c>
      <c r="K13" s="201">
        <f>IF(E13&lt;=Selections!$C$32,0,E13)</f>
        <v>0</v>
      </c>
      <c r="L13" s="202">
        <f>E13</f>
        <v>24</v>
      </c>
      <c r="M13" s="133">
        <v>0</v>
      </c>
      <c r="N13" s="202">
        <f>K13*M13</f>
        <v>0</v>
      </c>
      <c r="O13" s="339">
        <f>$G13</f>
        <v>0.4</v>
      </c>
      <c r="P13" s="202">
        <f>O13*L13</f>
        <v>9.6000000000000014</v>
      </c>
      <c r="Q13" s="338">
        <f>D_T03!F13</f>
        <v>0</v>
      </c>
      <c r="R13" s="202">
        <f>K13*Q13</f>
        <v>0</v>
      </c>
      <c r="S13" s="138">
        <f t="shared" ref="S13:S22" si="2">$Q13</f>
        <v>0</v>
      </c>
      <c r="T13" s="202">
        <f>S13*L13</f>
        <v>0</v>
      </c>
    </row>
    <row r="14" spans="2:20" ht="15" customHeight="1" x14ac:dyDescent="0.35">
      <c r="B14" s="262">
        <v>7</v>
      </c>
      <c r="C14" s="224" t="str">
        <f>D_T03!B14</f>
        <v xml:space="preserve">        Window 1 – Vinyl Frame Low-e Double</v>
      </c>
      <c r="D14" s="46" t="s">
        <v>37</v>
      </c>
      <c r="E14" s="133">
        <f>D_T03!G14</f>
        <v>75</v>
      </c>
      <c r="F14" s="205">
        <f>E14</f>
        <v>75</v>
      </c>
      <c r="G14" s="206">
        <f>D_T03!E14</f>
        <v>0.35</v>
      </c>
      <c r="H14" s="202">
        <f t="shared" si="0"/>
        <v>26.25</v>
      </c>
      <c r="I14" s="136">
        <f>D39</f>
        <v>0.4</v>
      </c>
      <c r="J14" s="124">
        <f t="shared" si="1"/>
        <v>30</v>
      </c>
      <c r="K14" s="201">
        <f>IF(E14&lt;=Selections!$C$33,0,E14)</f>
        <v>75</v>
      </c>
      <c r="L14" s="202">
        <f>E14</f>
        <v>75</v>
      </c>
      <c r="M14" s="136">
        <f>$G14</f>
        <v>0.35</v>
      </c>
      <c r="N14" s="202">
        <f>K14*M14</f>
        <v>26.25</v>
      </c>
      <c r="O14" s="339">
        <f>$G14</f>
        <v>0.35</v>
      </c>
      <c r="P14" s="202">
        <f>O14*L14</f>
        <v>26.25</v>
      </c>
      <c r="Q14" s="339">
        <f>D_T03!F14</f>
        <v>0.25</v>
      </c>
      <c r="R14" s="202">
        <f>K14*Q14</f>
        <v>18.75</v>
      </c>
      <c r="S14" s="339">
        <f t="shared" si="2"/>
        <v>0.25</v>
      </c>
      <c r="T14" s="202">
        <f>S14*L14</f>
        <v>18.75</v>
      </c>
    </row>
    <row r="15" spans="2:20" ht="15" customHeight="1" x14ac:dyDescent="0.35">
      <c r="B15" s="262">
        <v>8</v>
      </c>
      <c r="C15" s="224" t="str">
        <f>D_T03!B15</f>
        <v>Wall 2 –faces East, Wood Frame</v>
      </c>
      <c r="D15" s="51" t="s">
        <v>36</v>
      </c>
      <c r="E15" s="133">
        <f>D_T03!G15</f>
        <v>400</v>
      </c>
      <c r="F15" s="205">
        <f>E15-E16</f>
        <v>325</v>
      </c>
      <c r="G15" s="206">
        <f>D76</f>
        <v>5.7978201719387987E-2</v>
      </c>
      <c r="H15" s="202">
        <f t="shared" si="0"/>
        <v>18.842915558801096</v>
      </c>
      <c r="I15" s="136">
        <f>D36</f>
        <v>8.2000000000000003E-2</v>
      </c>
      <c r="J15" s="124">
        <f t="shared" si="1"/>
        <v>26.650000000000002</v>
      </c>
      <c r="K15" s="201"/>
      <c r="L15" s="202"/>
      <c r="M15" s="133"/>
      <c r="N15" s="203"/>
      <c r="O15" s="338"/>
      <c r="P15" s="203"/>
      <c r="Q15" s="338"/>
      <c r="R15" s="203"/>
      <c r="S15" s="339"/>
      <c r="T15" s="203"/>
    </row>
    <row r="16" spans="2:20" ht="15" customHeight="1" x14ac:dyDescent="0.35">
      <c r="B16" s="262">
        <v>9</v>
      </c>
      <c r="C16" s="224" t="str">
        <f>D_T03!B16</f>
        <v xml:space="preserve">        Window 2 – Vinyl Frame Low-e Double</v>
      </c>
      <c r="D16" s="46" t="s">
        <v>37</v>
      </c>
      <c r="E16" s="133">
        <f>D_T03!G16</f>
        <v>75</v>
      </c>
      <c r="F16" s="205">
        <f>E16</f>
        <v>75</v>
      </c>
      <c r="G16" s="206">
        <f>D_T03!E16</f>
        <v>0.35</v>
      </c>
      <c r="H16" s="202">
        <f t="shared" si="0"/>
        <v>26.25</v>
      </c>
      <c r="I16" s="136">
        <f>D39</f>
        <v>0.4</v>
      </c>
      <c r="J16" s="124">
        <f t="shared" si="1"/>
        <v>30</v>
      </c>
      <c r="K16" s="201">
        <f>IF(E16&lt;=Selections!$C$33,0,E16)</f>
        <v>75</v>
      </c>
      <c r="L16" s="202">
        <f>E16</f>
        <v>75</v>
      </c>
      <c r="M16" s="136">
        <f>$G16</f>
        <v>0.35</v>
      </c>
      <c r="N16" s="202">
        <f>K16*M16</f>
        <v>26.25</v>
      </c>
      <c r="O16" s="339">
        <f>$G16</f>
        <v>0.35</v>
      </c>
      <c r="P16" s="202">
        <f>O16*L16</f>
        <v>26.25</v>
      </c>
      <c r="Q16" s="339">
        <f>D_T03!F16</f>
        <v>0.25</v>
      </c>
      <c r="R16" s="202">
        <f>K16*Q16</f>
        <v>18.75</v>
      </c>
      <c r="S16" s="339">
        <f t="shared" si="2"/>
        <v>0.25</v>
      </c>
      <c r="T16" s="202">
        <f>S16*L16</f>
        <v>18.75</v>
      </c>
    </row>
    <row r="17" spans="2:20" ht="15" customHeight="1" x14ac:dyDescent="0.35">
      <c r="B17" s="262">
        <v>10</v>
      </c>
      <c r="C17" s="224" t="str">
        <f>D_T03!B17</f>
        <v>Wall 3 –faces South, Wood Frame</v>
      </c>
      <c r="D17" s="46" t="s">
        <v>36</v>
      </c>
      <c r="E17" s="133">
        <f>D_T03!G17</f>
        <v>400</v>
      </c>
      <c r="F17" s="205">
        <f>E17-E18</f>
        <v>385</v>
      </c>
      <c r="G17" s="206">
        <f>D76</f>
        <v>5.7978201719387987E-2</v>
      </c>
      <c r="H17" s="202">
        <f t="shared" si="0"/>
        <v>22.321607661964375</v>
      </c>
      <c r="I17" s="136">
        <f>D36</f>
        <v>8.2000000000000003E-2</v>
      </c>
      <c r="J17" s="124">
        <f t="shared" si="1"/>
        <v>31.57</v>
      </c>
      <c r="K17" s="201"/>
      <c r="L17" s="202"/>
      <c r="M17" s="133"/>
      <c r="N17" s="203"/>
      <c r="O17" s="338"/>
      <c r="P17" s="203"/>
      <c r="Q17" s="338"/>
      <c r="R17" s="203"/>
      <c r="S17" s="339"/>
      <c r="T17" s="203"/>
    </row>
    <row r="18" spans="2:20" ht="15" customHeight="1" x14ac:dyDescent="0.35">
      <c r="B18" s="262">
        <v>11</v>
      </c>
      <c r="C18" s="224" t="str">
        <f>D_T03!B18</f>
        <v xml:space="preserve">        Window 3 – Metal Frame, Single Pane</v>
      </c>
      <c r="D18" s="46" t="s">
        <v>37</v>
      </c>
      <c r="E18" s="133">
        <f>D_T03!G18</f>
        <v>15</v>
      </c>
      <c r="F18" s="205">
        <f>E18</f>
        <v>15</v>
      </c>
      <c r="G18" s="206">
        <f>D_T03!E18</f>
        <v>1.2</v>
      </c>
      <c r="H18" s="202">
        <f t="shared" si="0"/>
        <v>18</v>
      </c>
      <c r="I18" s="136">
        <f>D39</f>
        <v>0.4</v>
      </c>
      <c r="J18" s="124">
        <f t="shared" si="1"/>
        <v>6</v>
      </c>
      <c r="K18" s="201">
        <f>IF(E18&lt;=Selections!$C$33,0,E18)</f>
        <v>0</v>
      </c>
      <c r="L18" s="202">
        <f>E18</f>
        <v>15</v>
      </c>
      <c r="M18" s="136">
        <f>$G18</f>
        <v>1.2</v>
      </c>
      <c r="N18" s="202">
        <f>K18*M18</f>
        <v>0</v>
      </c>
      <c r="O18" s="339">
        <f>$G18</f>
        <v>1.2</v>
      </c>
      <c r="P18" s="202">
        <f>O18*L18</f>
        <v>18</v>
      </c>
      <c r="Q18" s="339">
        <f>D_T03!F18</f>
        <v>0.8</v>
      </c>
      <c r="R18" s="202">
        <f>K18*Q18</f>
        <v>0</v>
      </c>
      <c r="S18" s="339">
        <f t="shared" si="2"/>
        <v>0.8</v>
      </c>
      <c r="T18" s="202">
        <f>S18*L18</f>
        <v>12</v>
      </c>
    </row>
    <row r="19" spans="2:20" ht="15" customHeight="1" x14ac:dyDescent="0.35">
      <c r="B19" s="262">
        <v>12</v>
      </c>
      <c r="C19" s="224" t="str">
        <f>D_T03!B19</f>
        <v xml:space="preserve">Wall 4 –faces South, Wood Frame </v>
      </c>
      <c r="D19" s="46" t="s">
        <v>36</v>
      </c>
      <c r="E19" s="133">
        <f>D_T03!G19</f>
        <v>100</v>
      </c>
      <c r="F19" s="205">
        <f>E19-E20</f>
        <v>40</v>
      </c>
      <c r="G19" s="206">
        <f>D76</f>
        <v>5.7978201719387987E-2</v>
      </c>
      <c r="H19" s="202">
        <f t="shared" si="0"/>
        <v>2.3191280687755196</v>
      </c>
      <c r="I19" s="136">
        <f>D36</f>
        <v>8.2000000000000003E-2</v>
      </c>
      <c r="J19" s="124">
        <f t="shared" si="1"/>
        <v>3.2800000000000002</v>
      </c>
      <c r="K19" s="201"/>
      <c r="L19" s="202"/>
      <c r="M19" s="133"/>
      <c r="N19" s="203"/>
      <c r="O19" s="338"/>
      <c r="P19" s="203"/>
      <c r="Q19" s="338"/>
      <c r="R19" s="203"/>
      <c r="S19" s="339"/>
      <c r="T19" s="203"/>
    </row>
    <row r="20" spans="2:20" ht="15" customHeight="1" x14ac:dyDescent="0.35">
      <c r="B20" s="262">
        <v>13</v>
      </c>
      <c r="C20" s="224" t="str">
        <f>D_T03!B20</f>
        <v xml:space="preserve">        Window 4 – Vinyl Frame  Low-e Double</v>
      </c>
      <c r="D20" s="46" t="s">
        <v>37</v>
      </c>
      <c r="E20" s="133">
        <f>D_T03!G20</f>
        <v>60</v>
      </c>
      <c r="F20" s="205">
        <f>E20</f>
        <v>60</v>
      </c>
      <c r="G20" s="206">
        <f>D_T03!E20</f>
        <v>0.35</v>
      </c>
      <c r="H20" s="202">
        <f t="shared" si="0"/>
        <v>21</v>
      </c>
      <c r="I20" s="136">
        <f>D39</f>
        <v>0.4</v>
      </c>
      <c r="J20" s="124">
        <f t="shared" si="1"/>
        <v>24</v>
      </c>
      <c r="K20" s="201">
        <f>IF(E20&lt;=Selections!$C$33,0,E20)</f>
        <v>60</v>
      </c>
      <c r="L20" s="202">
        <f>E20</f>
        <v>60</v>
      </c>
      <c r="M20" s="136">
        <f>$G20</f>
        <v>0.35</v>
      </c>
      <c r="N20" s="202">
        <f>K20*M20</f>
        <v>21</v>
      </c>
      <c r="O20" s="339">
        <f>$G20</f>
        <v>0.35</v>
      </c>
      <c r="P20" s="202">
        <f>O20*L20</f>
        <v>21</v>
      </c>
      <c r="Q20" s="339">
        <f>D_T03!F20</f>
        <v>0.25</v>
      </c>
      <c r="R20" s="202">
        <f>K20*Q20</f>
        <v>15</v>
      </c>
      <c r="S20" s="339">
        <f t="shared" si="2"/>
        <v>0.25</v>
      </c>
      <c r="T20" s="202">
        <f>S20*L20</f>
        <v>15</v>
      </c>
    </row>
    <row r="21" spans="2:20" ht="15" customHeight="1" x14ac:dyDescent="0.35">
      <c r="B21" s="262">
        <v>14</v>
      </c>
      <c r="C21" s="224" t="str">
        <f>D_T03!B21</f>
        <v>Wall 5 –faces West, Wood Frame</v>
      </c>
      <c r="D21" s="46" t="s">
        <v>36</v>
      </c>
      <c r="E21" s="133">
        <f>D_T03!G21</f>
        <v>400</v>
      </c>
      <c r="F21" s="205">
        <f>E21-E22</f>
        <v>325</v>
      </c>
      <c r="G21" s="206">
        <f>D76</f>
        <v>5.7978201719387987E-2</v>
      </c>
      <c r="H21" s="202">
        <f t="shared" si="0"/>
        <v>18.842915558801096</v>
      </c>
      <c r="I21" s="136">
        <f>D36</f>
        <v>8.2000000000000003E-2</v>
      </c>
      <c r="J21" s="124">
        <f t="shared" si="1"/>
        <v>26.650000000000002</v>
      </c>
      <c r="K21" s="201"/>
      <c r="L21" s="202"/>
      <c r="M21" s="133"/>
      <c r="N21" s="203"/>
      <c r="O21" s="338"/>
      <c r="P21" s="203"/>
      <c r="Q21" s="338"/>
      <c r="R21" s="203"/>
      <c r="S21" s="339"/>
      <c r="T21" s="203"/>
    </row>
    <row r="22" spans="2:20" ht="15" customHeight="1" x14ac:dyDescent="0.35">
      <c r="B22" s="275">
        <v>15</v>
      </c>
      <c r="C22" s="225" t="str">
        <f>D_T03!B22</f>
        <v xml:space="preserve">        Window 5 – Vinyl Frame Low-e Double</v>
      </c>
      <c r="D22" s="53" t="s">
        <v>37</v>
      </c>
      <c r="E22" s="207">
        <f>D_T03!G22</f>
        <v>75</v>
      </c>
      <c r="F22" s="208">
        <f>E22</f>
        <v>75</v>
      </c>
      <c r="G22" s="209">
        <f>D_T03!E22</f>
        <v>0.35</v>
      </c>
      <c r="H22" s="204">
        <f t="shared" si="0"/>
        <v>26.25</v>
      </c>
      <c r="I22" s="125">
        <f>D39</f>
        <v>0.4</v>
      </c>
      <c r="J22" s="210">
        <f t="shared" si="1"/>
        <v>30</v>
      </c>
      <c r="K22" s="201">
        <f>IF(E22&lt;=Selections!$C$33,0,E22)</f>
        <v>75</v>
      </c>
      <c r="L22" s="204">
        <f>E22</f>
        <v>75</v>
      </c>
      <c r="M22" s="136">
        <f>$G22</f>
        <v>0.35</v>
      </c>
      <c r="N22" s="202">
        <f>K22*M22</f>
        <v>26.25</v>
      </c>
      <c r="O22" s="339">
        <f>$G22</f>
        <v>0.35</v>
      </c>
      <c r="P22" s="202">
        <f>O22*L22</f>
        <v>26.25</v>
      </c>
      <c r="Q22" s="339">
        <f>D_T03!F22</f>
        <v>0.25</v>
      </c>
      <c r="R22" s="202">
        <f>K22*Q22</f>
        <v>18.75</v>
      </c>
      <c r="S22" s="339">
        <f t="shared" si="2"/>
        <v>0.25</v>
      </c>
      <c r="T22" s="202">
        <f>S22*L22</f>
        <v>18.75</v>
      </c>
    </row>
    <row r="23" spans="2:20" ht="3.75" customHeight="1" x14ac:dyDescent="0.35">
      <c r="B23" s="316"/>
      <c r="C23" s="277"/>
      <c r="D23" s="55"/>
      <c r="E23" s="317"/>
      <c r="F23" s="56"/>
      <c r="G23" s="55"/>
      <c r="H23" s="56"/>
      <c r="I23" s="317"/>
      <c r="J23" s="317"/>
      <c r="K23" s="55"/>
      <c r="L23" s="56"/>
      <c r="M23" s="330"/>
      <c r="N23" s="58"/>
      <c r="O23" s="277"/>
      <c r="P23" s="58"/>
      <c r="Q23" s="277"/>
      <c r="R23" s="58"/>
      <c r="S23" s="277"/>
      <c r="T23" s="58"/>
    </row>
    <row r="24" spans="2:20" ht="15.5" x14ac:dyDescent="0.35">
      <c r="B24" s="328"/>
      <c r="C24" s="329" t="s">
        <v>134</v>
      </c>
      <c r="D24" s="61"/>
      <c r="E24" s="330"/>
      <c r="F24" s="58"/>
      <c r="G24" s="61"/>
      <c r="H24" s="453">
        <f>SUM(H10:H22)</f>
        <v>297.38901253744638</v>
      </c>
      <c r="I24" s="460"/>
      <c r="J24" s="455">
        <f>SUM(J10:J22)</f>
        <v>316.83199999999999</v>
      </c>
      <c r="K24" s="456">
        <f>SUM(K10:K22)</f>
        <v>295</v>
      </c>
      <c r="L24" s="453">
        <f>SUM(L10:L22)</f>
        <v>334</v>
      </c>
      <c r="M24" s="457">
        <f>N24/K24</f>
        <v>0.36016949152542371</v>
      </c>
      <c r="N24" s="453">
        <f>SUM(N10:N22)</f>
        <v>106.25</v>
      </c>
      <c r="O24" s="458">
        <f>P24/L24</f>
        <v>0.40074850299401193</v>
      </c>
      <c r="P24" s="453">
        <f>SUM(P10:P22)</f>
        <v>133.85</v>
      </c>
      <c r="Q24" s="458">
        <f>R24/K24</f>
        <v>0.25</v>
      </c>
      <c r="R24" s="453">
        <f>SUM(R10:R22)</f>
        <v>73.75</v>
      </c>
      <c r="S24" s="458">
        <f>T24/(L24-L13)</f>
        <v>0.27661290322580645</v>
      </c>
      <c r="T24" s="453">
        <f>SUM(T10:T22)</f>
        <v>85.75</v>
      </c>
    </row>
    <row r="25" spans="2:20" ht="9.75" customHeight="1" x14ac:dyDescent="0.35">
      <c r="B25" s="335"/>
      <c r="C25" s="336"/>
      <c r="D25" s="64"/>
      <c r="E25" s="64"/>
      <c r="F25" s="64"/>
      <c r="G25" s="64"/>
      <c r="H25" s="65"/>
      <c r="I25" s="66"/>
      <c r="J25" s="65"/>
      <c r="K25" s="65"/>
      <c r="L25" s="65"/>
      <c r="M25" s="67"/>
      <c r="N25" s="65"/>
      <c r="O25" s="67"/>
      <c r="P25" s="65"/>
      <c r="Q25" s="67"/>
      <c r="R25" s="65"/>
      <c r="S25" s="67"/>
      <c r="T25" s="65"/>
    </row>
    <row r="26" spans="2:20" ht="45" customHeight="1" x14ac:dyDescent="0.35">
      <c r="B26" s="335"/>
      <c r="C26" s="212" t="str">
        <f>Selections!B25</f>
        <v>UA allowed deviation range in %</v>
      </c>
      <c r="D26" s="221">
        <f>Selections!C25</f>
        <v>0.02</v>
      </c>
      <c r="E26" s="320"/>
      <c r="G26" s="261" t="s">
        <v>136</v>
      </c>
      <c r="H26" s="144" t="s">
        <v>231</v>
      </c>
      <c r="J26" s="144" t="s">
        <v>230</v>
      </c>
      <c r="M26" s="144" t="s">
        <v>229</v>
      </c>
      <c r="N26" s="144" t="s">
        <v>231</v>
      </c>
      <c r="O26" s="144" t="s">
        <v>229</v>
      </c>
      <c r="P26" s="144" t="s">
        <v>231</v>
      </c>
      <c r="Q26" s="144" t="s">
        <v>232</v>
      </c>
      <c r="R26" s="144" t="s">
        <v>233</v>
      </c>
      <c r="S26" s="144" t="s">
        <v>232</v>
      </c>
      <c r="T26" s="144" t="s">
        <v>233</v>
      </c>
    </row>
    <row r="27" spans="2:20" x14ac:dyDescent="0.35">
      <c r="C27" s="212" t="str">
        <f>Selections!B26</f>
        <v>U-Factor allowed deviation range absolute</v>
      </c>
      <c r="D27" s="222">
        <f>Selections!C26</f>
        <v>5.0000000000000001E-3</v>
      </c>
      <c r="G27" s="261" t="s">
        <v>138</v>
      </c>
      <c r="H27" s="211">
        <f>H24-(H24*$D$26)</f>
        <v>291.44123228669747</v>
      </c>
      <c r="J27" s="211">
        <f>J24-(J24*$D$26)</f>
        <v>310.49536000000001</v>
      </c>
      <c r="K27" s="212"/>
      <c r="L27" s="212"/>
      <c r="M27" s="213">
        <f>M$24-$D$27</f>
        <v>0.35516949152542371</v>
      </c>
      <c r="N27" s="214">
        <f>N$24-$D$26*N$24</f>
        <v>104.125</v>
      </c>
      <c r="O27" s="215">
        <f>O$24-$D$27</f>
        <v>0.39574850299401193</v>
      </c>
      <c r="P27" s="214">
        <f>P$24-$D$26*P$24</f>
        <v>131.173</v>
      </c>
      <c r="Q27" s="215">
        <f>Q$24-$D$28</f>
        <v>0.245</v>
      </c>
      <c r="R27" s="214">
        <f>R$24-$D$26*R$24</f>
        <v>72.275000000000006</v>
      </c>
      <c r="S27" s="215">
        <f>S$24-$D$28</f>
        <v>0.27161290322580645</v>
      </c>
      <c r="T27" s="214">
        <f>T$24-$D$26*T$24</f>
        <v>84.034999999999997</v>
      </c>
    </row>
    <row r="28" spans="2:20" x14ac:dyDescent="0.35">
      <c r="C28" s="212" t="str">
        <f>Selections!B27</f>
        <v>SHGC allowed deviation range absolute</v>
      </c>
      <c r="D28" s="222">
        <f>Selections!C27</f>
        <v>5.0000000000000001E-3</v>
      </c>
      <c r="G28" s="261" t="s">
        <v>140</v>
      </c>
      <c r="H28" s="211">
        <f>H24*(1+$D$26)</f>
        <v>303.33679278819528</v>
      </c>
      <c r="J28" s="211">
        <f>J24*(1+$D$26)</f>
        <v>323.16863999999998</v>
      </c>
      <c r="K28" s="212"/>
      <c r="L28" s="212"/>
      <c r="M28" s="213">
        <f>M$24+$D$27</f>
        <v>0.36516949152542372</v>
      </c>
      <c r="N28" s="214">
        <f>N$24+$D$26*N$24</f>
        <v>108.375</v>
      </c>
      <c r="O28" s="215">
        <f>O$24+$D$28</f>
        <v>0.40574850299401194</v>
      </c>
      <c r="P28" s="214">
        <f>P$24+$D$26*P$24</f>
        <v>136.52699999999999</v>
      </c>
      <c r="Q28" s="215">
        <f>Q$24+$D$28</f>
        <v>0.255</v>
      </c>
      <c r="R28" s="214">
        <f>R$24+$D$26*R$24</f>
        <v>75.224999999999994</v>
      </c>
      <c r="S28" s="215">
        <f>S$24+$D$28</f>
        <v>0.28161290322580645</v>
      </c>
      <c r="T28" s="214">
        <f>T$24+$D$26*T$24</f>
        <v>87.465000000000003</v>
      </c>
    </row>
    <row r="29" spans="2:20" x14ac:dyDescent="0.35">
      <c r="D29" s="261"/>
      <c r="G29" s="261"/>
      <c r="I29" s="342"/>
      <c r="J29" s="342"/>
      <c r="M29" s="260"/>
      <c r="N29" s="259"/>
      <c r="O29" s="73"/>
      <c r="P29" s="259"/>
      <c r="Q29" s="73"/>
      <c r="R29" s="259"/>
      <c r="S29" s="73"/>
      <c r="T29" s="259"/>
    </row>
    <row r="30" spans="2:20" ht="13.5" customHeight="1" x14ac:dyDescent="0.35">
      <c r="B30" s="305" t="s">
        <v>241</v>
      </c>
      <c r="G30" s="305" t="s">
        <v>425</v>
      </c>
      <c r="H30" s="449">
        <f>SUM(H14,H16,H18,H20,H22+H11)</f>
        <v>124.25</v>
      </c>
    </row>
    <row r="31" spans="2:20" ht="19.5" customHeight="1" x14ac:dyDescent="0.35">
      <c r="B31" s="239" t="s">
        <v>259</v>
      </c>
      <c r="C31" s="329"/>
      <c r="D31" s="240"/>
      <c r="E31" s="64"/>
      <c r="F31" s="64"/>
      <c r="G31" s="64" t="s">
        <v>427</v>
      </c>
      <c r="H31" s="461">
        <f>1*H13</f>
        <v>9.6000000000000014</v>
      </c>
      <c r="I31" s="259"/>
      <c r="J31" s="259"/>
      <c r="K31" s="259"/>
      <c r="L31" s="259"/>
      <c r="M31" s="462"/>
      <c r="N31" s="463"/>
      <c r="O31" s="462"/>
      <c r="P31" s="463"/>
      <c r="Q31" s="73"/>
      <c r="R31" s="259"/>
      <c r="S31" s="73"/>
      <c r="T31" s="259"/>
    </row>
    <row r="32" spans="2:20" ht="43.5" customHeight="1" x14ac:dyDescent="0.35">
      <c r="B32" s="276"/>
      <c r="C32" s="282" t="s">
        <v>141</v>
      </c>
      <c r="D32" s="413" t="s">
        <v>234</v>
      </c>
      <c r="F32" s="320"/>
      <c r="G32" s="320" t="s">
        <v>426</v>
      </c>
      <c r="H32" s="471">
        <f>SUM(H12,H15,H17,H19,H21)</f>
        <v>85.575825737816658</v>
      </c>
    </row>
    <row r="33" spans="2:8" x14ac:dyDescent="0.35">
      <c r="B33" s="303">
        <v>1</v>
      </c>
      <c r="C33" s="282" t="s">
        <v>30</v>
      </c>
      <c r="D33" s="410">
        <v>6.4000000000000001E-2</v>
      </c>
      <c r="G33" s="305" t="s">
        <v>428</v>
      </c>
      <c r="H33" s="449">
        <f>H8</f>
        <v>0</v>
      </c>
    </row>
    <row r="34" spans="2:8" x14ac:dyDescent="0.35">
      <c r="B34" s="262">
        <v>2</v>
      </c>
      <c r="C34" s="283" t="s">
        <v>33</v>
      </c>
      <c r="D34" s="411"/>
      <c r="G34" s="305" t="s">
        <v>34</v>
      </c>
      <c r="H34" s="449">
        <f>H10</f>
        <v>77.963186799629696</v>
      </c>
    </row>
    <row r="35" spans="2:8" x14ac:dyDescent="0.35">
      <c r="B35" s="262">
        <v>3</v>
      </c>
      <c r="C35" s="283" t="s">
        <v>416</v>
      </c>
      <c r="D35" s="411">
        <v>0.03</v>
      </c>
    </row>
    <row r="36" spans="2:8" x14ac:dyDescent="0.35">
      <c r="B36" s="262">
        <v>4</v>
      </c>
      <c r="C36" s="283" t="s">
        <v>144</v>
      </c>
      <c r="D36" s="411">
        <v>8.2000000000000003E-2</v>
      </c>
    </row>
    <row r="37" spans="2:8" x14ac:dyDescent="0.35">
      <c r="B37" s="262">
        <v>5</v>
      </c>
      <c r="C37" s="283" t="s">
        <v>35</v>
      </c>
      <c r="D37" s="313">
        <v>0.65</v>
      </c>
    </row>
    <row r="38" spans="2:8" x14ac:dyDescent="0.35">
      <c r="B38" s="262">
        <v>6</v>
      </c>
      <c r="C38" s="283" t="s">
        <v>38</v>
      </c>
      <c r="D38" s="313">
        <v>0.4</v>
      </c>
    </row>
    <row r="39" spans="2:8" x14ac:dyDescent="0.35">
      <c r="B39" s="262">
        <v>7</v>
      </c>
      <c r="C39" s="283" t="s">
        <v>145</v>
      </c>
      <c r="D39" s="313">
        <v>0.4</v>
      </c>
    </row>
    <row r="40" spans="2:8" ht="13.5" customHeight="1" x14ac:dyDescent="0.35">
      <c r="B40" s="275">
        <v>8</v>
      </c>
      <c r="C40" s="323" t="s">
        <v>386</v>
      </c>
      <c r="D40" s="409">
        <v>0.4</v>
      </c>
    </row>
    <row r="41" spans="2:8" ht="13.5" customHeight="1" x14ac:dyDescent="0.35">
      <c r="B41" s="263"/>
    </row>
    <row r="42" spans="2:8" ht="13.5" customHeight="1" x14ac:dyDescent="0.35">
      <c r="B42" s="263"/>
    </row>
    <row r="43" spans="2:8" ht="30.75" customHeight="1" x14ac:dyDescent="0.35">
      <c r="B43" s="495" t="s">
        <v>436</v>
      </c>
      <c r="C43" s="257" t="s">
        <v>437</v>
      </c>
    </row>
    <row r="44" spans="2:8" ht="31.5" customHeight="1" x14ac:dyDescent="0.35">
      <c r="B44" s="316"/>
      <c r="C44" s="270" t="s">
        <v>146</v>
      </c>
      <c r="D44" s="288" t="s">
        <v>147</v>
      </c>
      <c r="E44" s="270" t="s">
        <v>148</v>
      </c>
      <c r="F44" s="277" t="s">
        <v>142</v>
      </c>
      <c r="G44" s="330"/>
      <c r="H44" s="343"/>
    </row>
    <row r="45" spans="2:8" x14ac:dyDescent="0.35">
      <c r="B45" s="316"/>
      <c r="C45" s="333" t="s">
        <v>442</v>
      </c>
      <c r="D45" s="123">
        <f>1-D_T03!C50</f>
        <v>0.92999999999999994</v>
      </c>
      <c r="E45" s="139">
        <f>D_T03!C50</f>
        <v>7.0000000000000007E-2</v>
      </c>
      <c r="G45" s="320"/>
      <c r="H45" s="321"/>
    </row>
    <row r="46" spans="2:8" x14ac:dyDescent="0.35">
      <c r="B46" s="262">
        <v>1</v>
      </c>
      <c r="C46" s="237" t="str">
        <f>D_T03!B53</f>
        <v>Roof outside film R-Value</v>
      </c>
      <c r="D46" s="487">
        <f>D_T03!C53</f>
        <v>0.25</v>
      </c>
      <c r="E46" s="488">
        <f>D_T03!C53</f>
        <v>0.25</v>
      </c>
      <c r="G46" s="320"/>
      <c r="H46" s="321"/>
    </row>
    <row r="47" spans="2:8" x14ac:dyDescent="0.35">
      <c r="B47" s="262">
        <v>2</v>
      </c>
      <c r="C47" s="237" t="str">
        <f>D_T03!B54</f>
        <v>Roof Skin R-Value</v>
      </c>
      <c r="D47" s="487">
        <f>D_T03!C54</f>
        <v>1.25</v>
      </c>
      <c r="E47" s="488">
        <f>D_T03!C54</f>
        <v>1.25</v>
      </c>
      <c r="G47" s="320"/>
      <c r="H47" s="321"/>
    </row>
    <row r="48" spans="2:8" x14ac:dyDescent="0.35">
      <c r="B48" s="262">
        <v>3</v>
      </c>
      <c r="C48" s="237" t="str">
        <f>D_T03!B55</f>
        <v>Roof Inside Film Slope Down R-Value</v>
      </c>
      <c r="D48" s="487">
        <f>D_T03!C55</f>
        <v>0.76</v>
      </c>
      <c r="E48" s="488">
        <f>D_T03!C55</f>
        <v>0.76</v>
      </c>
      <c r="G48" s="320"/>
      <c r="H48" s="321"/>
    </row>
    <row r="49" spans="2:17" ht="15.75" customHeight="1" x14ac:dyDescent="0.35">
      <c r="B49" s="262">
        <v>4</v>
      </c>
      <c r="C49" s="237" t="str">
        <f>D_T03!B56</f>
        <v>Attic Air film</v>
      </c>
      <c r="D49" s="298">
        <f>D_T03!C56</f>
        <v>0.61</v>
      </c>
      <c r="E49" s="140">
        <f>D_T03!C56</f>
        <v>0.61</v>
      </c>
      <c r="F49" s="292"/>
      <c r="G49" s="320"/>
      <c r="H49" s="321"/>
    </row>
    <row r="50" spans="2:17" ht="15.75" customHeight="1" x14ac:dyDescent="0.35">
      <c r="B50" s="494">
        <v>5</v>
      </c>
      <c r="C50" s="493" t="str">
        <f>D_T03!B57</f>
        <v>Batt Insulation R30</v>
      </c>
      <c r="D50" s="490">
        <f>D_T03!C57</f>
        <v>30</v>
      </c>
      <c r="E50" s="491">
        <v>0</v>
      </c>
      <c r="F50" s="508" t="s">
        <v>435</v>
      </c>
      <c r="G50" s="509"/>
      <c r="H50" s="510"/>
    </row>
    <row r="51" spans="2:17" ht="15.75" customHeight="1" x14ac:dyDescent="0.35">
      <c r="B51" s="494">
        <v>6</v>
      </c>
      <c r="C51" s="493" t="str">
        <f>D_T03!B58</f>
        <v>Wood Stud 2 x 4: Nominal</v>
      </c>
      <c r="D51" s="490">
        <v>0</v>
      </c>
      <c r="E51" s="492">
        <f>D_T03!C58</f>
        <v>4.38</v>
      </c>
      <c r="F51" s="508"/>
      <c r="G51" s="509"/>
      <c r="H51" s="510"/>
    </row>
    <row r="52" spans="2:17" ht="15.75" customHeight="1" x14ac:dyDescent="0.35">
      <c r="B52" s="262"/>
      <c r="C52" s="237" t="s">
        <v>434</v>
      </c>
      <c r="D52" s="298">
        <f>1/($D45/($D50+$D51)+$E45/($E50+$E51))</f>
        <v>21.284867334046069</v>
      </c>
      <c r="E52" s="298">
        <f>1/($D45/($D50+$D51)+$E45/($E50+$E51))</f>
        <v>21.284867334046069</v>
      </c>
      <c r="F52" s="306"/>
      <c r="G52" s="320"/>
      <c r="H52" s="321"/>
    </row>
    <row r="53" spans="2:17" ht="15.75" customHeight="1" x14ac:dyDescent="0.35">
      <c r="B53" s="262">
        <v>7</v>
      </c>
      <c r="C53" s="237" t="str">
        <f>D_T03!B59</f>
        <v xml:space="preserve">0.5 Inch Drywall </v>
      </c>
      <c r="D53" s="298">
        <f>D_T03!C59</f>
        <v>0.45</v>
      </c>
      <c r="E53" s="140">
        <f>D_T03!C59</f>
        <v>0.45</v>
      </c>
      <c r="F53" s="306"/>
      <c r="G53" s="320"/>
      <c r="H53" s="321"/>
    </row>
    <row r="54" spans="2:17" ht="15.75" customHeight="1" x14ac:dyDescent="0.35">
      <c r="B54" s="262">
        <v>8</v>
      </c>
      <c r="C54" s="237" t="str">
        <f>D_T03!B60</f>
        <v>Indoor Air film</v>
      </c>
      <c r="D54" s="298">
        <f>D_T03!C60</f>
        <v>0.92</v>
      </c>
      <c r="E54" s="140">
        <f>D_T03!C60</f>
        <v>0.92</v>
      </c>
      <c r="F54" s="306"/>
      <c r="G54" s="320"/>
      <c r="H54" s="321"/>
    </row>
    <row r="55" spans="2:17" ht="15.75" customHeight="1" x14ac:dyDescent="0.35">
      <c r="B55" s="262"/>
      <c r="C55" s="319" t="s">
        <v>429</v>
      </c>
      <c r="D55" s="298">
        <f>SUM(D46:D49,D52,D53:D54)</f>
        <v>25.524867334046071</v>
      </c>
      <c r="E55" s="298">
        <f>SUM(E46:E49,E52,E53:E54)</f>
        <v>25.524867334046071</v>
      </c>
      <c r="F55" s="306"/>
      <c r="G55" s="320"/>
      <c r="H55" s="321"/>
    </row>
    <row r="56" spans="2:17" ht="15.75" customHeight="1" x14ac:dyDescent="0.35">
      <c r="B56" s="479"/>
      <c r="C56" s="480" t="s">
        <v>430</v>
      </c>
      <c r="D56" s="481">
        <f>IF(D55&gt;0, 1/D55, 0)</f>
        <v>3.9177480803834021E-2</v>
      </c>
      <c r="E56" s="482">
        <f>IF(E55&gt;0, 1/E55, 0)</f>
        <v>3.9177480803834021E-2</v>
      </c>
      <c r="F56" s="483"/>
      <c r="G56" s="484"/>
      <c r="H56" s="485"/>
    </row>
    <row r="57" spans="2:17" ht="18" customHeight="1" x14ac:dyDescent="0.35">
      <c r="B57" s="262"/>
      <c r="C57" s="327" t="s">
        <v>160</v>
      </c>
      <c r="D57" s="118">
        <f>IF(D56=E56,D56,0)</f>
        <v>3.9177480803834021E-2</v>
      </c>
      <c r="E57" s="321"/>
      <c r="F57" s="306" t="s">
        <v>81</v>
      </c>
      <c r="G57" s="320"/>
      <c r="H57" s="321"/>
      <c r="J57" s="305" t="s">
        <v>439</v>
      </c>
    </row>
    <row r="58" spans="2:17" ht="18" customHeight="1" x14ac:dyDescent="0.35">
      <c r="B58" s="275"/>
      <c r="C58" s="323" t="s">
        <v>161</v>
      </c>
      <c r="D58" s="489">
        <f>IF(D57&gt;0,1/D57,0)</f>
        <v>25.524867334046071</v>
      </c>
      <c r="E58" s="325"/>
      <c r="F58" s="322"/>
      <c r="G58" s="324"/>
      <c r="H58" s="325"/>
    </row>
    <row r="59" spans="2:17" x14ac:dyDescent="0.35">
      <c r="B59" s="261"/>
      <c r="F59" s="320"/>
      <c r="G59" s="320"/>
      <c r="H59" s="320"/>
    </row>
    <row r="60" spans="2:17" x14ac:dyDescent="0.35">
      <c r="B60" s="261"/>
      <c r="F60" s="320"/>
      <c r="G60" s="320"/>
      <c r="H60" s="320"/>
    </row>
    <row r="61" spans="2:17" x14ac:dyDescent="0.35">
      <c r="B61" s="261"/>
      <c r="F61" s="320"/>
      <c r="G61" s="320"/>
      <c r="H61" s="320"/>
    </row>
    <row r="62" spans="2:17" ht="35.25" customHeight="1" x14ac:dyDescent="0.35">
      <c r="B62" s="305" t="s">
        <v>36</v>
      </c>
      <c r="C62" s="257" t="s">
        <v>239</v>
      </c>
      <c r="F62" s="320"/>
      <c r="G62" s="320"/>
      <c r="H62" s="320"/>
      <c r="K62" s="320"/>
      <c r="L62" s="320"/>
      <c r="M62" s="320"/>
      <c r="N62" s="320"/>
      <c r="O62" s="320"/>
      <c r="P62" s="320"/>
      <c r="Q62" s="320"/>
    </row>
    <row r="63" spans="2:17" ht="33" customHeight="1" x14ac:dyDescent="0.35">
      <c r="B63" s="277"/>
      <c r="C63" s="269" t="s">
        <v>146</v>
      </c>
      <c r="D63" s="288" t="s">
        <v>147</v>
      </c>
      <c r="E63" s="270" t="s">
        <v>148</v>
      </c>
      <c r="F63" s="277" t="s">
        <v>142</v>
      </c>
      <c r="G63" s="330"/>
      <c r="H63" s="343"/>
      <c r="K63" s="320"/>
      <c r="L63" s="376"/>
      <c r="M63" s="127"/>
      <c r="N63" s="127"/>
      <c r="O63" s="263"/>
      <c r="P63" s="320"/>
      <c r="Q63" s="320"/>
    </row>
    <row r="64" spans="2:17" x14ac:dyDescent="0.35">
      <c r="B64" s="316"/>
      <c r="C64" s="294" t="s">
        <v>150</v>
      </c>
      <c r="D64" s="132">
        <f>1-D_T03!C65</f>
        <v>0.75</v>
      </c>
      <c r="E64" s="123">
        <f>D_T03!C65</f>
        <v>0.25</v>
      </c>
      <c r="G64" s="320"/>
      <c r="H64" s="321"/>
      <c r="K64" s="320"/>
      <c r="L64" s="376"/>
      <c r="M64" s="127"/>
      <c r="N64" s="127"/>
      <c r="O64" s="263"/>
      <c r="P64" s="320"/>
      <c r="Q64" s="320"/>
    </row>
    <row r="65" spans="2:17" x14ac:dyDescent="0.35">
      <c r="B65" s="262">
        <v>1</v>
      </c>
      <c r="C65" s="237" t="str">
        <f>D_T03!B69</f>
        <v>Outside Air Film (7.5 mph wind, Summer)</v>
      </c>
      <c r="D65" s="338">
        <f>D_T03!C69</f>
        <v>0.25</v>
      </c>
      <c r="E65" s="120">
        <f>D_T03!C69</f>
        <v>0.25</v>
      </c>
      <c r="F65" s="306"/>
      <c r="G65" s="320"/>
      <c r="H65" s="321"/>
      <c r="K65" s="263"/>
      <c r="L65" s="320"/>
      <c r="M65" s="263"/>
      <c r="N65" s="263"/>
      <c r="O65" s="320"/>
      <c r="P65" s="320"/>
      <c r="Q65" s="320"/>
    </row>
    <row r="66" spans="2:17" x14ac:dyDescent="0.35">
      <c r="B66" s="262">
        <v>2</v>
      </c>
      <c r="C66" s="237" t="str">
        <f>D_T03!B70</f>
        <v>Stucco (0.8 Inch thick, conductivity=9.7 Btu-in/h-ft2-°F)</v>
      </c>
      <c r="D66" s="118">
        <f>D_T03!C70</f>
        <v>8.2474226804123724E-2</v>
      </c>
      <c r="E66" s="118">
        <f>D_T03!C70</f>
        <v>8.2474226804123724E-2</v>
      </c>
      <c r="F66" s="306"/>
      <c r="G66" s="320"/>
      <c r="H66" s="321"/>
      <c r="K66" s="263"/>
      <c r="L66" s="320"/>
      <c r="M66" s="266"/>
      <c r="N66" s="266"/>
      <c r="O66" s="320"/>
      <c r="P66" s="320"/>
      <c r="Q66" s="320"/>
    </row>
    <row r="67" spans="2:17" x14ac:dyDescent="0.35">
      <c r="B67" s="262">
        <v>3</v>
      </c>
      <c r="C67" s="237" t="str">
        <f>D_T03!B71</f>
        <v>Continuous Rigid Insulation R5</v>
      </c>
      <c r="D67" s="135">
        <f>D_T03!C71</f>
        <v>5</v>
      </c>
      <c r="E67" s="119">
        <f>D_T03!C71</f>
        <v>5</v>
      </c>
      <c r="F67" s="306"/>
      <c r="G67" s="320"/>
      <c r="H67" s="321"/>
      <c r="K67" s="263"/>
      <c r="L67" s="320"/>
      <c r="M67" s="265"/>
      <c r="N67" s="265"/>
      <c r="O67" s="320"/>
      <c r="P67" s="320"/>
      <c r="Q67" s="320"/>
    </row>
    <row r="68" spans="2:17" x14ac:dyDescent="0.35">
      <c r="B68" s="262">
        <v>4</v>
      </c>
      <c r="C68" s="237" t="str">
        <f>D_T03!B72</f>
        <v>Asphalt Building Paper #30 (equivalent)</v>
      </c>
      <c r="D68" s="135">
        <f>D_T03!C72</f>
        <v>0.15</v>
      </c>
      <c r="E68" s="298">
        <f>D_T03!C72</f>
        <v>0.15</v>
      </c>
      <c r="F68" s="306"/>
      <c r="G68" s="320"/>
      <c r="H68" s="321"/>
      <c r="K68" s="263"/>
      <c r="L68" s="320"/>
      <c r="M68" s="444"/>
      <c r="N68" s="265"/>
      <c r="O68" s="320"/>
      <c r="P68" s="320"/>
      <c r="Q68" s="320"/>
    </row>
    <row r="69" spans="2:17" x14ac:dyDescent="0.35">
      <c r="B69" s="262">
        <v>5</v>
      </c>
      <c r="C69" s="237" t="str">
        <f>D_T03!B73</f>
        <v>0.5 Inch Plywood Exterior</v>
      </c>
      <c r="D69" s="135">
        <f>D_T03!C73</f>
        <v>0.79</v>
      </c>
      <c r="E69" s="120">
        <f>D_T03!C73</f>
        <v>0.79</v>
      </c>
      <c r="F69" s="306"/>
      <c r="G69" s="320"/>
      <c r="H69" s="321"/>
      <c r="K69" s="263"/>
      <c r="L69" s="320"/>
      <c r="M69" s="265"/>
      <c r="N69" s="444"/>
      <c r="O69" s="320"/>
      <c r="P69" s="320"/>
      <c r="Q69" s="320"/>
    </row>
    <row r="70" spans="2:17" x14ac:dyDescent="0.35">
      <c r="B70" s="262">
        <v>6</v>
      </c>
      <c r="C70" s="237" t="str">
        <f>D_T03!B74</f>
        <v>Wood Stud 2 x 4: Nominal</v>
      </c>
      <c r="D70" s="135">
        <v>0</v>
      </c>
      <c r="E70" s="120">
        <f>D_T03!C74</f>
        <v>4.38</v>
      </c>
      <c r="F70" s="306"/>
      <c r="G70" s="320"/>
      <c r="H70" s="321"/>
      <c r="K70" s="263"/>
      <c r="L70" s="320"/>
      <c r="M70" s="263"/>
      <c r="N70" s="263"/>
      <c r="O70" s="320"/>
      <c r="P70" s="320"/>
      <c r="Q70" s="320"/>
    </row>
    <row r="71" spans="2:17" x14ac:dyDescent="0.35">
      <c r="B71" s="262">
        <v>7</v>
      </c>
      <c r="C71" s="237" t="str">
        <f>D_T03!B75</f>
        <v>Fiber Glass Batt Insulation R13</v>
      </c>
      <c r="D71" s="119">
        <f>D_T03!C75</f>
        <v>13</v>
      </c>
      <c r="E71" s="120">
        <v>0</v>
      </c>
      <c r="F71" s="306"/>
      <c r="G71" s="320"/>
      <c r="H71" s="321"/>
      <c r="K71" s="263"/>
      <c r="L71" s="320"/>
      <c r="M71" s="263"/>
      <c r="N71" s="263"/>
      <c r="O71" s="320"/>
      <c r="P71" s="320"/>
      <c r="Q71" s="320"/>
    </row>
    <row r="72" spans="2:17" x14ac:dyDescent="0.35">
      <c r="B72" s="262">
        <v>8</v>
      </c>
      <c r="C72" s="237" t="str">
        <f>D_T03!B76</f>
        <v xml:space="preserve">0.5 Inch Drywall </v>
      </c>
      <c r="D72" s="338">
        <f>D_T03!C76</f>
        <v>0.45</v>
      </c>
      <c r="E72" s="120">
        <f>D_T03!C76</f>
        <v>0.45</v>
      </c>
      <c r="F72" s="306"/>
      <c r="G72" s="320"/>
      <c r="H72" s="321"/>
      <c r="K72" s="263"/>
      <c r="L72" s="320"/>
      <c r="M72" s="265"/>
      <c r="N72" s="265"/>
      <c r="O72" s="320"/>
      <c r="P72" s="320"/>
      <c r="Q72" s="320"/>
    </row>
    <row r="73" spans="2:17" x14ac:dyDescent="0.35">
      <c r="B73" s="262">
        <v>9</v>
      </c>
      <c r="C73" s="237" t="str">
        <f>D_T03!B77</f>
        <v>Indoor Air Film</v>
      </c>
      <c r="D73" s="338">
        <f>D_T03!C77</f>
        <v>0.68</v>
      </c>
      <c r="E73" s="120">
        <f>D_T03!C77</f>
        <v>0.68</v>
      </c>
      <c r="F73" s="306"/>
      <c r="G73" s="320"/>
      <c r="H73" s="321"/>
      <c r="K73" s="263"/>
      <c r="L73" s="320"/>
      <c r="M73" s="263"/>
      <c r="N73" s="263"/>
      <c r="O73" s="320"/>
      <c r="P73" s="320"/>
      <c r="Q73" s="320"/>
    </row>
    <row r="74" spans="2:17" x14ac:dyDescent="0.35">
      <c r="B74" s="262"/>
      <c r="C74" s="319" t="s">
        <v>169</v>
      </c>
      <c r="D74" s="135">
        <f>SUM(D65:D73)</f>
        <v>20.402474226804124</v>
      </c>
      <c r="E74" s="298">
        <f>SUM(E65:E73)</f>
        <v>11.782474226804123</v>
      </c>
      <c r="F74" s="306"/>
      <c r="G74" s="320"/>
      <c r="H74" s="321"/>
    </row>
    <row r="75" spans="2:17" x14ac:dyDescent="0.35">
      <c r="B75" s="322"/>
      <c r="C75" s="323" t="s">
        <v>170</v>
      </c>
      <c r="D75" s="339">
        <f>1/D74</f>
        <v>4.9013663190233647E-2</v>
      </c>
      <c r="E75" s="118">
        <f>1/E74</f>
        <v>8.4871817306851005E-2</v>
      </c>
      <c r="F75" s="306"/>
      <c r="G75" s="320"/>
      <c r="H75" s="321"/>
    </row>
    <row r="76" spans="2:17" ht="16.5" customHeight="1" x14ac:dyDescent="0.35">
      <c r="B76" s="306"/>
      <c r="C76" s="306" t="s">
        <v>160</v>
      </c>
      <c r="D76" s="340">
        <f>D75*D64+E75*E64</f>
        <v>5.7978201719387987E-2</v>
      </c>
      <c r="E76" s="334"/>
      <c r="F76" s="306" t="s">
        <v>83</v>
      </c>
      <c r="G76" s="320"/>
      <c r="H76" s="321"/>
    </row>
    <row r="77" spans="2:17" ht="16.5" customHeight="1" x14ac:dyDescent="0.35">
      <c r="B77" s="277"/>
      <c r="C77" s="277" t="s">
        <v>161</v>
      </c>
      <c r="D77" s="137">
        <f>1/D76</f>
        <v>17.247861615990733</v>
      </c>
      <c r="E77" s="334"/>
      <c r="F77" s="275"/>
      <c r="G77" s="324"/>
      <c r="H77" s="325"/>
    </row>
    <row r="80" spans="2:17" ht="19.5" customHeight="1" x14ac:dyDescent="0.35"/>
    <row r="96" ht="20.25" customHeight="1" x14ac:dyDescent="0.35"/>
  </sheetData>
  <sheetProtection algorithmName="SHA-512" hashValue="OVCBBXu2RKGnUhUJlHVv1tHNrfcI2BjMuT05SoS01DyhVLC8AG2EJSlpERzgWRPtffyddpV2f4g+fymCAvX+cQ==" saltValue="OsjG6vioWDK4hZ0GWsUm/A==" spinCount="100000" sheet="1" objects="1" scenarios="1"/>
  <mergeCells count="14">
    <mergeCell ref="F50:H51"/>
    <mergeCell ref="O6:P6"/>
    <mergeCell ref="Q6:R6"/>
    <mergeCell ref="S6:T6"/>
    <mergeCell ref="K5:L5"/>
    <mergeCell ref="M5:N5"/>
    <mergeCell ref="O5:P5"/>
    <mergeCell ref="Q5:R5"/>
    <mergeCell ref="S5:T5"/>
    <mergeCell ref="D6:F6"/>
    <mergeCell ref="G6:H6"/>
    <mergeCell ref="I6:J6"/>
    <mergeCell ref="K6:L6"/>
    <mergeCell ref="M6:N6"/>
  </mergeCells>
  <dataValidations disablePrompts="1" count="1">
    <dataValidation type="list" allowBlank="1" showInputMessage="1" showErrorMessage="1" sqref="F57 F76">
      <formula1>UCalcMethod</formula1>
    </dataValidation>
  </dataValidations>
  <pageMargins left="0.7" right="0.7" top="0.75" bottom="0.75" header="0.3" footer="0.3"/>
  <pageSetup scale="34" fitToHeight="0" orientation="portrait" r:id="rId1"/>
  <rowBreaks count="1" manualBreakCount="1">
    <brk id="41"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42"/>
  <sheetViews>
    <sheetView topLeftCell="B1" zoomScaleNormal="100" workbookViewId="0">
      <selection activeCell="C39" sqref="C39"/>
    </sheetView>
  </sheetViews>
  <sheetFormatPr defaultRowHeight="14.5" x14ac:dyDescent="0.35"/>
  <cols>
    <col min="1" max="1" width="4.453125" customWidth="1"/>
    <col min="2" max="2" width="46.7265625" customWidth="1"/>
    <col min="3" max="3" width="23.1796875" customWidth="1"/>
    <col min="4" max="4" width="20.26953125" customWidth="1"/>
    <col min="5" max="5" width="21" customWidth="1"/>
    <col min="6" max="6" width="20.1796875" customWidth="1"/>
    <col min="7" max="7" width="26.26953125" customWidth="1"/>
    <col min="8" max="8" width="26.26953125" hidden="1" customWidth="1"/>
    <col min="9" max="9" width="24.7265625" customWidth="1"/>
  </cols>
  <sheetData>
    <row r="1" spans="1:8" ht="7.5" customHeight="1" x14ac:dyDescent="0.35">
      <c r="A1" s="13"/>
      <c r="B1" s="13"/>
      <c r="C1" s="13"/>
      <c r="D1" s="13"/>
      <c r="E1" s="13"/>
      <c r="F1" s="13"/>
      <c r="G1" s="13"/>
    </row>
    <row r="3" spans="1:8" ht="34.5" customHeight="1" x14ac:dyDescent="0.35">
      <c r="B3" s="102" t="s">
        <v>25</v>
      </c>
      <c r="C3" s="102" t="s">
        <v>27</v>
      </c>
      <c r="D3" s="507" t="str">
        <f>IF(Instructions!D2="","Enter Vendor's Software Name In Instruction Sheet",Instructions!D2)</f>
        <v xml:space="preserve">EnergyGauge USA </v>
      </c>
      <c r="E3" s="507"/>
    </row>
    <row r="4" spans="1:8" ht="15" customHeight="1" x14ac:dyDescent="0.35">
      <c r="B4" s="32" t="str">
        <f>D_M01!B2</f>
        <v xml:space="preserve">Prescriptive Test: House M01 (Pr-M01) Characteristics – Location: Miami, Florida. </v>
      </c>
      <c r="C4" s="32"/>
      <c r="D4" s="32"/>
      <c r="E4" s="32"/>
    </row>
    <row r="5" spans="1:8" ht="15" customHeight="1" x14ac:dyDescent="0.35">
      <c r="B5" s="326" t="str">
        <f>D_M01!B3</f>
        <v>Single Family Detached Home with No Attached Garage, Single Story, Three bedroom.</v>
      </c>
      <c r="C5" s="32"/>
      <c r="D5" s="32"/>
      <c r="E5" s="32"/>
    </row>
    <row r="6" spans="1:8" x14ac:dyDescent="0.35">
      <c r="B6" s="4" t="s">
        <v>28</v>
      </c>
    </row>
    <row r="7" spans="1:8" x14ac:dyDescent="0.35">
      <c r="B7" s="1" t="s">
        <v>112</v>
      </c>
      <c r="C7" s="1"/>
      <c r="D7" s="8" t="s">
        <v>84</v>
      </c>
      <c r="E7" s="8"/>
    </row>
    <row r="8" spans="1:8" x14ac:dyDescent="0.35">
      <c r="B8" s="3" t="s">
        <v>113</v>
      </c>
      <c r="C8" s="3"/>
      <c r="D8" s="3"/>
    </row>
    <row r="9" spans="1:8" x14ac:dyDescent="0.35">
      <c r="B9" s="249" t="str">
        <f>D_M01!B4</f>
        <v>House Pr-M01</v>
      </c>
      <c r="C9" s="10" t="s">
        <v>242</v>
      </c>
      <c r="D9" s="116" t="s">
        <v>75</v>
      </c>
      <c r="E9" s="4"/>
    </row>
    <row r="10" spans="1:8" ht="15" thickBot="1" x14ac:dyDescent="0.4">
      <c r="C10" s="10" t="s">
        <v>86</v>
      </c>
      <c r="D10" s="10" t="s">
        <v>29</v>
      </c>
      <c r="E10" s="4"/>
    </row>
    <row r="11" spans="1:8" ht="15" thickBot="1" x14ac:dyDescent="0.4">
      <c r="B11" s="246" t="str">
        <f>D_M01!B8</f>
        <v>Slab-on-grade Floor</v>
      </c>
      <c r="C11" s="103" t="s">
        <v>93</v>
      </c>
      <c r="D11" s="105" t="str">
        <f>IF(C11="Complies","Pass","Fail")</f>
        <v>Pass</v>
      </c>
      <c r="E11" s="6"/>
      <c r="H11" s="9">
        <f t="shared" ref="H11:H23" si="0">IF(OR(D11="Not applicable",D11="Software Doesn't Check",D11="Pass"),0,1)</f>
        <v>0</v>
      </c>
    </row>
    <row r="12" spans="1:8" ht="15" thickBot="1" x14ac:dyDescent="0.4">
      <c r="B12" s="247" t="str">
        <f>D_M01!B9</f>
        <v>Roof – gable type- 5 in 12 slope No overhangs</v>
      </c>
      <c r="C12" s="103" t="s">
        <v>93</v>
      </c>
      <c r="D12" s="105" t="str">
        <f>IF(C12="Complies","Pass","Fail")</f>
        <v>Pass</v>
      </c>
      <c r="E12" s="6"/>
      <c r="H12" s="9">
        <f t="shared" si="0"/>
        <v>0</v>
      </c>
    </row>
    <row r="13" spans="1:8" ht="15" thickBot="1" x14ac:dyDescent="0.4">
      <c r="B13" s="247" t="str">
        <f>D_M01!B10</f>
        <v>Ceiling1 –flat under attic</v>
      </c>
      <c r="C13" s="103" t="s">
        <v>93</v>
      </c>
      <c r="D13" s="105" t="str">
        <f>IF(C13="Complies","Pass","Fail")</f>
        <v>Pass</v>
      </c>
      <c r="E13" s="6"/>
      <c r="H13" s="9">
        <f t="shared" si="0"/>
        <v>0</v>
      </c>
    </row>
    <row r="14" spans="1:8" ht="15" thickBot="1" x14ac:dyDescent="0.4">
      <c r="B14" s="247" t="str">
        <f>D_M01!B11</f>
        <v xml:space="preserve">        Skylight</v>
      </c>
      <c r="C14" s="103" t="s">
        <v>93</v>
      </c>
      <c r="D14" s="105" t="str">
        <f>IF(C14="Complies","Pass","Fail")</f>
        <v>Pass</v>
      </c>
      <c r="E14" s="6"/>
      <c r="H14" s="9">
        <f t="shared" si="0"/>
        <v>0</v>
      </c>
    </row>
    <row r="15" spans="1:8" ht="15" thickBot="1" x14ac:dyDescent="0.4">
      <c r="B15" s="247" t="str">
        <f>D_M01!B12</f>
        <v>Wall 1 –faces North, CBS2</v>
      </c>
      <c r="C15" s="103" t="s">
        <v>93</v>
      </c>
      <c r="D15" s="105" t="str">
        <f>IF(C15="Complies","Pass","Fail")</f>
        <v>Pass</v>
      </c>
      <c r="E15" s="6"/>
      <c r="H15" s="9">
        <f t="shared" si="0"/>
        <v>0</v>
      </c>
    </row>
    <row r="16" spans="1:8" ht="15" thickBot="1" x14ac:dyDescent="0.4">
      <c r="B16" s="247" t="str">
        <f>D_M01!B13</f>
        <v xml:space="preserve">        Door 1 - </v>
      </c>
      <c r="C16" s="106" t="s">
        <v>63</v>
      </c>
      <c r="D16" s="105" t="s">
        <v>63</v>
      </c>
      <c r="E16" s="6"/>
      <c r="H16" s="9">
        <f t="shared" si="0"/>
        <v>0</v>
      </c>
    </row>
    <row r="17" spans="2:8" ht="15" thickBot="1" x14ac:dyDescent="0.4">
      <c r="B17" s="247" t="str">
        <f>D_M01!B14</f>
        <v xml:space="preserve">        Window 1 – Vinyl Frame Low-e Double</v>
      </c>
      <c r="C17" s="106" t="s">
        <v>63</v>
      </c>
      <c r="D17" s="105" t="s">
        <v>63</v>
      </c>
      <c r="E17" s="6"/>
      <c r="H17" s="9">
        <f t="shared" si="0"/>
        <v>0</v>
      </c>
    </row>
    <row r="18" spans="2:8" ht="15" thickBot="1" x14ac:dyDescent="0.4">
      <c r="B18" s="247" t="str">
        <f>D_M01!B15</f>
        <v>Wall 2 –faces East, CBS</v>
      </c>
      <c r="C18" s="103" t="s">
        <v>93</v>
      </c>
      <c r="D18" s="105" t="str">
        <f>IF(C18="Complies","Pass","Fail")</f>
        <v>Pass</v>
      </c>
      <c r="E18" s="6"/>
      <c r="H18" s="9">
        <f t="shared" si="0"/>
        <v>0</v>
      </c>
    </row>
    <row r="19" spans="2:8" ht="15" thickBot="1" x14ac:dyDescent="0.4">
      <c r="B19" s="247" t="str">
        <f>D_M01!B16</f>
        <v xml:space="preserve">        Window 2 – Vinyl Frame Low-e Double</v>
      </c>
      <c r="C19" s="106" t="s">
        <v>63</v>
      </c>
      <c r="D19" s="105" t="s">
        <v>63</v>
      </c>
      <c r="E19" s="6"/>
      <c r="H19" s="9">
        <f t="shared" si="0"/>
        <v>0</v>
      </c>
    </row>
    <row r="20" spans="2:8" ht="15" thickBot="1" x14ac:dyDescent="0.4">
      <c r="B20" s="247" t="str">
        <f>D_M01!B17</f>
        <v>Wall 3 –faces South, CBS</v>
      </c>
      <c r="C20" s="103" t="s">
        <v>93</v>
      </c>
      <c r="D20" s="105" t="str">
        <f>IF(C20="Complies","Pass","Fail")</f>
        <v>Pass</v>
      </c>
      <c r="E20" s="6"/>
      <c r="H20" s="9">
        <f t="shared" si="0"/>
        <v>0</v>
      </c>
    </row>
    <row r="21" spans="2:8" ht="15" thickBot="1" x14ac:dyDescent="0.4">
      <c r="B21" s="247" t="str">
        <f>D_M01!B18</f>
        <v xml:space="preserve">        Window 3 – Vinyl Frame Low-e Double</v>
      </c>
      <c r="C21" s="106" t="s">
        <v>63</v>
      </c>
      <c r="D21" s="105" t="s">
        <v>63</v>
      </c>
      <c r="E21" s="6"/>
      <c r="H21" s="9">
        <f t="shared" si="0"/>
        <v>0</v>
      </c>
    </row>
    <row r="22" spans="2:8" ht="15" thickBot="1" x14ac:dyDescent="0.4">
      <c r="B22" s="247" t="str">
        <f>D_M01!B19</f>
        <v>Wall 4 –faces South, Wood3 2x4 Stud</v>
      </c>
      <c r="C22" s="103" t="s">
        <v>93</v>
      </c>
      <c r="D22" s="105" t="str">
        <f>IF(C22="Complies","Pass","Fail")</f>
        <v>Pass</v>
      </c>
      <c r="E22" s="6"/>
      <c r="H22" s="9">
        <f t="shared" si="0"/>
        <v>0</v>
      </c>
    </row>
    <row r="23" spans="2:8" ht="15" thickBot="1" x14ac:dyDescent="0.4">
      <c r="B23" s="247" t="str">
        <f>D_M01!B20</f>
        <v xml:space="preserve">        Window 4 – Vinyl Frame  Low-e Double</v>
      </c>
      <c r="C23" s="106" t="s">
        <v>63</v>
      </c>
      <c r="D23" s="105" t="s">
        <v>63</v>
      </c>
      <c r="E23" s="6"/>
      <c r="H23" s="9">
        <f t="shared" si="0"/>
        <v>0</v>
      </c>
    </row>
    <row r="24" spans="2:8" ht="15" thickBot="1" x14ac:dyDescent="0.4">
      <c r="B24" s="247" t="str">
        <f>D_M01!B21</f>
        <v>Wall 5 –faces West, CBS</v>
      </c>
      <c r="C24" s="103" t="s">
        <v>93</v>
      </c>
      <c r="D24" s="105" t="str">
        <f>IF(C24="Complies","Pass","Fail")</f>
        <v>Pass</v>
      </c>
      <c r="E24" s="6"/>
      <c r="H24" s="9">
        <f>IF(OR(D24="Not applicable",D24="Software Doesn't Check",D24="Pass"),0,1)</f>
        <v>0</v>
      </c>
    </row>
    <row r="25" spans="2:8" ht="15" thickBot="1" x14ac:dyDescent="0.4">
      <c r="B25" s="247" t="str">
        <f>D_M01!B22</f>
        <v xml:space="preserve">        Window 5 – Vinyl Frame Low-e Double</v>
      </c>
      <c r="C25" s="107" t="s">
        <v>63</v>
      </c>
      <c r="D25" s="105" t="s">
        <v>63</v>
      </c>
      <c r="E25" s="6"/>
      <c r="H25" s="9">
        <f t="shared" ref="H25:H46" si="1">IF(OR(D25="Not applicable",D25="Software Doesn't Check",D25="Pass"),0,1)</f>
        <v>0</v>
      </c>
    </row>
    <row r="26" spans="2:8" ht="15" thickBot="1" x14ac:dyDescent="0.4">
      <c r="B26" s="247" t="str">
        <f>D_M01!B23</f>
        <v>Infiltration</v>
      </c>
      <c r="C26" s="108" t="s">
        <v>93</v>
      </c>
      <c r="D26" s="105" t="str">
        <f>IF(C26="Complies","Pass",IF(C26="Not part of software","Software Doesn't Check","Fail"))</f>
        <v>Pass</v>
      </c>
      <c r="E26" s="6"/>
      <c r="H26" s="9">
        <f t="shared" si="1"/>
        <v>0</v>
      </c>
    </row>
    <row r="27" spans="2:8" ht="15" thickBot="1" x14ac:dyDescent="0.4">
      <c r="B27" s="247" t="str">
        <f>D_M01!B24</f>
        <v>Heating – heat pump</v>
      </c>
      <c r="C27" s="113" t="s">
        <v>93</v>
      </c>
      <c r="D27" s="105" t="str">
        <f>IF(C27="Complies","Pass",IF(C27="Not part of software","Software Doesn't Check","Fail"))</f>
        <v>Pass</v>
      </c>
      <c r="E27" s="6"/>
      <c r="H27" s="9">
        <f t="shared" si="1"/>
        <v>0</v>
      </c>
    </row>
    <row r="28" spans="2:8" ht="15" thickBot="1" x14ac:dyDescent="0.4">
      <c r="B28" s="247" t="str">
        <f>D_M01!B25</f>
        <v>Cooling – heat pump</v>
      </c>
      <c r="C28" s="103" t="s">
        <v>93</v>
      </c>
      <c r="D28" s="105" t="str">
        <f>IF(C28="Complies","Pass",IF(C28="Not part of software","Software Doesn't Check","Fail"))</f>
        <v>Pass</v>
      </c>
      <c r="E28" s="6"/>
      <c r="H28" s="9">
        <f t="shared" si="1"/>
        <v>0</v>
      </c>
    </row>
    <row r="29" spans="2:8" ht="15" thickBot="1" x14ac:dyDescent="0.4">
      <c r="B29" s="247" t="str">
        <f>D_M01!B26</f>
        <v>Ducts – supply in attic</v>
      </c>
      <c r="C29" s="103" t="s">
        <v>93</v>
      </c>
      <c r="D29" s="105" t="str">
        <f>IF(C29="Complies","Pass",IF(C29="Not part of software","Software Doesn't Check","Fail"))</f>
        <v>Pass</v>
      </c>
      <c r="E29" s="6"/>
      <c r="H29" s="9">
        <f t="shared" si="1"/>
        <v>0</v>
      </c>
    </row>
    <row r="30" spans="2:8" ht="15" thickBot="1" x14ac:dyDescent="0.4">
      <c r="B30" s="247" t="str">
        <f>D_M01!B27</f>
        <v>Ducts – Return in Conditioned Space</v>
      </c>
      <c r="C30" s="103" t="s">
        <v>93</v>
      </c>
      <c r="D30" s="105" t="str">
        <f t="shared" ref="D30:D38" si="2">IF(C30="Complies","Pass",IF(C30="Not part of software","Software Doesn't Check","Fail"))</f>
        <v>Pass</v>
      </c>
      <c r="E30" s="6"/>
      <c r="H30" s="9">
        <f t="shared" si="1"/>
        <v>0</v>
      </c>
    </row>
    <row r="31" spans="2:8" ht="15" thickBot="1" x14ac:dyDescent="0.4">
      <c r="B31" s="247" t="str">
        <f>D_M01!B28</f>
        <v>Duct Tightness</v>
      </c>
      <c r="C31" s="103" t="s">
        <v>93</v>
      </c>
      <c r="D31" s="105" t="str">
        <f t="shared" si="2"/>
        <v>Pass</v>
      </c>
      <c r="E31" s="6"/>
      <c r="H31" s="9">
        <f t="shared" si="1"/>
        <v>0</v>
      </c>
    </row>
    <row r="32" spans="2:8" ht="15" thickBot="1" x14ac:dyDescent="0.4">
      <c r="B32" s="247" t="str">
        <f>D_M01!B29</f>
        <v>Air Handler – in Conditioned Space</v>
      </c>
      <c r="C32" s="103" t="s">
        <v>93</v>
      </c>
      <c r="D32" s="105" t="str">
        <f t="shared" si="2"/>
        <v>Pass</v>
      </c>
      <c r="E32" s="6"/>
      <c r="H32" s="9">
        <f t="shared" si="1"/>
        <v>0</v>
      </c>
    </row>
    <row r="33" spans="1:8" ht="15" thickBot="1" x14ac:dyDescent="0.4">
      <c r="B33" s="247" t="str">
        <f>D_M01!B30</f>
        <v>Mechanical Ventilation</v>
      </c>
      <c r="C33" s="103" t="s">
        <v>93</v>
      </c>
      <c r="D33" s="105" t="str">
        <f t="shared" si="2"/>
        <v>Pass</v>
      </c>
      <c r="E33" s="6"/>
      <c r="H33" s="9">
        <f t="shared" si="1"/>
        <v>0</v>
      </c>
    </row>
    <row r="34" spans="1:8" ht="15" thickBot="1" x14ac:dyDescent="0.4">
      <c r="B34" s="247" t="str">
        <f>D_M01!B31</f>
        <v>Hot Water System - electric</v>
      </c>
      <c r="C34" s="103" t="s">
        <v>93</v>
      </c>
      <c r="D34" s="105" t="str">
        <f t="shared" si="2"/>
        <v>Pass</v>
      </c>
      <c r="E34" s="6"/>
      <c r="H34" s="9">
        <f t="shared" si="1"/>
        <v>0</v>
      </c>
    </row>
    <row r="35" spans="1:8" ht="15" thickBot="1" x14ac:dyDescent="0.4">
      <c r="B35" s="247" t="str">
        <f>D_M01!B32</f>
        <v>All Hot Water Lines</v>
      </c>
      <c r="C35" s="103" t="s">
        <v>56</v>
      </c>
      <c r="D35" s="105" t="str">
        <f t="shared" si="2"/>
        <v>Software Doesn't Check</v>
      </c>
      <c r="E35" s="6"/>
      <c r="H35" s="9">
        <f t="shared" si="1"/>
        <v>0</v>
      </c>
    </row>
    <row r="36" spans="1:8" ht="15" thickBot="1" x14ac:dyDescent="0.4">
      <c r="B36" s="247" t="str">
        <f>D_M01!B33</f>
        <v>Hot Water Circulation -none</v>
      </c>
      <c r="C36" s="103" t="s">
        <v>56</v>
      </c>
      <c r="D36" s="105" t="str">
        <f t="shared" si="2"/>
        <v>Software Doesn't Check</v>
      </c>
      <c r="E36" s="6"/>
      <c r="H36" s="9">
        <f t="shared" si="1"/>
        <v>0</v>
      </c>
    </row>
    <row r="37" spans="1:8" ht="15" thickBot="1" x14ac:dyDescent="0.4">
      <c r="B37" s="247" t="str">
        <f>D_M01!B34</f>
        <v>Lighting</v>
      </c>
      <c r="C37" s="103" t="s">
        <v>93</v>
      </c>
      <c r="D37" s="105" t="str">
        <f t="shared" si="2"/>
        <v>Pass</v>
      </c>
      <c r="E37" s="6"/>
      <c r="H37" s="9">
        <f t="shared" si="1"/>
        <v>0</v>
      </c>
    </row>
    <row r="38" spans="1:8" ht="15" thickBot="1" x14ac:dyDescent="0.4">
      <c r="B38" s="247" t="str">
        <f>D_M01!B35</f>
        <v>Pool and Spa - none</v>
      </c>
      <c r="C38" s="103" t="s">
        <v>56</v>
      </c>
      <c r="D38" s="105" t="str">
        <f t="shared" si="2"/>
        <v>Software Doesn't Check</v>
      </c>
      <c r="E38" s="6"/>
      <c r="H38" s="9">
        <f t="shared" si="1"/>
        <v>0</v>
      </c>
    </row>
    <row r="39" spans="1:8" ht="15" thickBot="1" x14ac:dyDescent="0.4">
      <c r="B39" s="248" t="str">
        <f>D_M01!B38</f>
        <v>Area Weighted Fenestration U-Factor Value</v>
      </c>
      <c r="C39" s="104">
        <v>0.65</v>
      </c>
      <c r="D39" s="105" t="str">
        <f>IF(C39&gt;UA_M01!M27,IF(C39&lt;=UA_M01!M28,"Pass","Fail"),"Fail")</f>
        <v>Pass</v>
      </c>
      <c r="E39" s="7"/>
      <c r="H39" s="9">
        <f t="shared" si="1"/>
        <v>0</v>
      </c>
    </row>
    <row r="40" spans="1:8" ht="15" thickBot="1" x14ac:dyDescent="0.4">
      <c r="B40" s="248" t="str">
        <f>D_M01!B39</f>
        <v>Area Weighted Fenestration SHGC Value</v>
      </c>
      <c r="C40" s="103">
        <v>0.25</v>
      </c>
      <c r="D40" s="105" t="str">
        <f>IF(C40&gt;UA_M01!Q27,IF(C40&lt;=UA_M01!Q28,"Pass","Fail"),"Fail")</f>
        <v>Pass</v>
      </c>
      <c r="E40" s="7"/>
      <c r="H40" s="9">
        <f t="shared" si="1"/>
        <v>0</v>
      </c>
    </row>
    <row r="41" spans="1:8" ht="15" thickBot="1" x14ac:dyDescent="0.4">
      <c r="B41" s="248" t="str">
        <f>D_M01!B40</f>
        <v>Total Thermal Envelope UA Value</v>
      </c>
      <c r="C41" s="110" t="s">
        <v>63</v>
      </c>
      <c r="D41" s="105" t="str">
        <f>IF(C41="Complies","Not applicable",IF(C41="Not applicable","Not applicable","Fail"))</f>
        <v>Not applicable</v>
      </c>
      <c r="E41" s="7"/>
      <c r="H41" s="9">
        <f t="shared" si="1"/>
        <v>0</v>
      </c>
    </row>
    <row r="42" spans="1:8" ht="15" thickBot="1" x14ac:dyDescent="0.4">
      <c r="B42" s="248" t="str">
        <f>D_M01!B41</f>
        <v>Area Weighted Fenestration U-Factor Result</v>
      </c>
      <c r="C42" s="103" t="s">
        <v>93</v>
      </c>
      <c r="D42" s="105" t="str">
        <f>IF(C42="Complies","Pass","Fail")</f>
        <v>Pass</v>
      </c>
      <c r="E42" s="6"/>
      <c r="H42" s="9">
        <f t="shared" si="1"/>
        <v>0</v>
      </c>
    </row>
    <row r="43" spans="1:8" ht="15" thickBot="1" x14ac:dyDescent="0.4">
      <c r="B43" s="248" t="str">
        <f>D_M01!B42</f>
        <v>Area Weighted Fenestration SHGC Result</v>
      </c>
      <c r="C43" s="103" t="s">
        <v>93</v>
      </c>
      <c r="D43" s="105" t="str">
        <f>IF(C43="Complies","Pass","Fail")</f>
        <v>Pass</v>
      </c>
      <c r="E43" s="6"/>
      <c r="H43" s="9">
        <f t="shared" si="1"/>
        <v>0</v>
      </c>
    </row>
    <row r="44" spans="1:8" ht="15" thickBot="1" x14ac:dyDescent="0.4">
      <c r="B44" s="248" t="str">
        <f>D_M01!B43</f>
        <v>Baseline Thermal Envelope UA Value</v>
      </c>
      <c r="C44" s="111" t="s">
        <v>63</v>
      </c>
      <c r="D44" s="105" t="str">
        <f>IF(C44="Complies","Not applicable",IF(C44="Not applicable","Not applicable","Fail"))</f>
        <v>Not applicable</v>
      </c>
      <c r="E44" s="6"/>
      <c r="H44" s="9">
        <f t="shared" si="1"/>
        <v>0</v>
      </c>
    </row>
    <row r="45" spans="1:8" ht="15" thickBot="1" x14ac:dyDescent="0.4">
      <c r="B45" s="248" t="str">
        <f>D_M01!B44</f>
        <v>Total Thermal Envelope UA Result</v>
      </c>
      <c r="C45" s="111" t="s">
        <v>63</v>
      </c>
      <c r="D45" s="105" t="str">
        <f>IF(C45="Complies","Not applicable",IF(C45="Not applicable","Not applicable","Fail"))</f>
        <v>Not applicable</v>
      </c>
      <c r="H45" s="9">
        <f t="shared" si="1"/>
        <v>0</v>
      </c>
    </row>
    <row r="46" spans="1:8" ht="15" thickBot="1" x14ac:dyDescent="0.4">
      <c r="B46" s="248" t="str">
        <f>D_M01!B45</f>
        <v>House Complies?</v>
      </c>
      <c r="C46" s="103" t="s">
        <v>119</v>
      </c>
      <c r="D46" s="469" t="str">
        <f>IF(C46="Yes","Pass","Fail")</f>
        <v>Pass</v>
      </c>
      <c r="H46" s="9">
        <f t="shared" si="1"/>
        <v>0</v>
      </c>
    </row>
    <row r="47" spans="1:8" ht="21.65" customHeight="1" x14ac:dyDescent="0.6">
      <c r="B47" s="19"/>
      <c r="C47" s="15" t="s">
        <v>94</v>
      </c>
      <c r="D47" s="16" t="str">
        <f>IF(H47&gt;0,"FAIL","PASS")</f>
        <v>PASS</v>
      </c>
      <c r="H47">
        <f xml:space="preserve"> SUM(H11:H46)</f>
        <v>0</v>
      </c>
    </row>
    <row r="48" spans="1:8" ht="7.9" customHeight="1" x14ac:dyDescent="0.35">
      <c r="A48" s="13"/>
      <c r="B48" s="20"/>
      <c r="C48" s="17"/>
      <c r="D48" s="18"/>
      <c r="E48" s="13"/>
      <c r="F48" s="13"/>
      <c r="G48" s="13"/>
    </row>
    <row r="49" spans="1:8" hidden="1" x14ac:dyDescent="0.35">
      <c r="B49" s="19"/>
      <c r="C49" s="12"/>
      <c r="D49" s="11"/>
    </row>
    <row r="50" spans="1:8" ht="7.9" hidden="1" customHeight="1" x14ac:dyDescent="0.35">
      <c r="A50" s="2"/>
      <c r="B50" s="21"/>
      <c r="C50" s="2"/>
      <c r="D50" s="2"/>
      <c r="E50" s="2"/>
      <c r="F50" s="2"/>
      <c r="G50" s="2"/>
    </row>
    <row r="51" spans="1:8" hidden="1" x14ac:dyDescent="0.35">
      <c r="B51" s="19"/>
    </row>
    <row r="52" spans="1:8" ht="33" hidden="1" customHeight="1" x14ac:dyDescent="0.35">
      <c r="B52" s="114" t="s">
        <v>25</v>
      </c>
      <c r="C52" s="33" t="s">
        <v>27</v>
      </c>
      <c r="D52" s="507" t="str">
        <f>IF(Instructions!D2="","Enter Vendor's Software Name In Instruction Sheet",Instructions!D2)</f>
        <v xml:space="preserve">EnergyGauge USA </v>
      </c>
      <c r="E52" s="507"/>
    </row>
    <row r="53" spans="1:8" hidden="1" x14ac:dyDescent="0.35">
      <c r="B53" s="22" t="s">
        <v>76</v>
      </c>
    </row>
    <row r="54" spans="1:8" hidden="1" x14ac:dyDescent="0.35">
      <c r="B54" s="30" t="s">
        <v>112</v>
      </c>
      <c r="C54" s="1"/>
      <c r="D54" s="8" t="s">
        <v>84</v>
      </c>
      <c r="E54" s="8"/>
    </row>
    <row r="55" spans="1:8" hidden="1" x14ac:dyDescent="0.35">
      <c r="B55" s="31" t="s">
        <v>113</v>
      </c>
      <c r="C55" s="3"/>
      <c r="D55" s="3"/>
    </row>
    <row r="56" spans="1:8" hidden="1" x14ac:dyDescent="0.35">
      <c r="B56" s="250" t="str">
        <f>D_M01!B4</f>
        <v>House Pr-M01</v>
      </c>
      <c r="C56" s="10" t="s">
        <v>77</v>
      </c>
      <c r="D56" s="4"/>
      <c r="E56" s="10" t="s">
        <v>243</v>
      </c>
      <c r="F56" s="116" t="s">
        <v>88</v>
      </c>
    </row>
    <row r="57" spans="1:8" ht="15" hidden="1" thickBot="1" x14ac:dyDescent="0.4">
      <c r="B57" s="19"/>
      <c r="C57" s="10" t="s">
        <v>87</v>
      </c>
      <c r="D57" s="10" t="s">
        <v>77</v>
      </c>
      <c r="E57" s="10" t="s">
        <v>86</v>
      </c>
      <c r="F57" s="10" t="s">
        <v>89</v>
      </c>
    </row>
    <row r="58" spans="1:8" ht="15" hidden="1" thickBot="1" x14ac:dyDescent="0.4">
      <c r="B58" s="246" t="str">
        <f>D_M01!B8</f>
        <v>Slab-on-grade Floor</v>
      </c>
      <c r="C58" s="106"/>
      <c r="D58" s="106"/>
      <c r="E58" s="103"/>
      <c r="F58" s="105" t="str">
        <f>IF(E58="Complies","Pass","Fail")</f>
        <v>Fail</v>
      </c>
      <c r="H58" s="9">
        <f>IF(OR(F58="Not applicable",F58="Software Doesn't Check",F58="Pass"),0,1)</f>
        <v>1</v>
      </c>
    </row>
    <row r="59" spans="1:8" ht="15" hidden="1" customHeight="1" thickBot="1" x14ac:dyDescent="0.4">
      <c r="B59" s="247" t="str">
        <f>D_M01!B9</f>
        <v>Roof – gable type- 5 in 12 slope No overhangs</v>
      </c>
      <c r="C59" s="106"/>
      <c r="D59" s="106"/>
      <c r="E59" s="103"/>
      <c r="F59" s="105" t="str">
        <f>IF(E59="Complies","Pass","Fail")</f>
        <v>Fail</v>
      </c>
      <c r="H59" s="9">
        <f t="shared" ref="H59:H93" si="3">IF(OR(F59="Not applicable",F59="Software Doesn't Check",F59="Pass"),0,1)</f>
        <v>1</v>
      </c>
    </row>
    <row r="60" spans="1:8" ht="15" hidden="1" customHeight="1" thickBot="1" x14ac:dyDescent="0.4">
      <c r="B60" s="247" t="str">
        <f>D_M01!B10</f>
        <v>Ceiling1 –flat under attic</v>
      </c>
      <c r="C60" s="103"/>
      <c r="D60" s="103"/>
      <c r="E60" s="103"/>
      <c r="F60" s="105" t="str">
        <f>IF(E60="Complies","Pass","Fail")</f>
        <v>Fail</v>
      </c>
      <c r="H60" s="9">
        <f t="shared" si="3"/>
        <v>1</v>
      </c>
    </row>
    <row r="61" spans="1:8" ht="15" hidden="1" customHeight="1" thickBot="1" x14ac:dyDescent="0.4">
      <c r="B61" s="247" t="str">
        <f>D_M01!B11</f>
        <v xml:space="preserve">        Skylight</v>
      </c>
      <c r="C61" s="106"/>
      <c r="D61" s="216">
        <f>D_M01!E11</f>
        <v>0.75</v>
      </c>
      <c r="E61" s="103"/>
      <c r="F61" s="105" t="str">
        <f>IF(E61="Complies","Pass","Fail")</f>
        <v>Fail</v>
      </c>
      <c r="H61" s="9">
        <f t="shared" si="3"/>
        <v>1</v>
      </c>
    </row>
    <row r="62" spans="1:8" ht="15" hidden="1" customHeight="1" thickBot="1" x14ac:dyDescent="0.4">
      <c r="B62" s="247" t="str">
        <f>D_M01!B12</f>
        <v>Wall 1 –faces North, CBS2</v>
      </c>
      <c r="C62" s="103"/>
      <c r="D62" s="103"/>
      <c r="E62" s="103"/>
      <c r="F62" s="105" t="str">
        <f>IF(E62="Complies","Pass","Fail")</f>
        <v>Fail</v>
      </c>
      <c r="H62" s="9">
        <f t="shared" si="3"/>
        <v>1</v>
      </c>
    </row>
    <row r="63" spans="1:8" ht="15" hidden="1" customHeight="1" thickBot="1" x14ac:dyDescent="0.4">
      <c r="B63" s="247" t="str">
        <f>D_M01!B13</f>
        <v xml:space="preserve">        Door 1 - </v>
      </c>
      <c r="C63" s="106"/>
      <c r="D63" s="216">
        <f>D_M01!E13</f>
        <v>0.65</v>
      </c>
      <c r="E63" s="110" t="s">
        <v>63</v>
      </c>
      <c r="F63" s="105" t="s">
        <v>63</v>
      </c>
      <c r="H63" s="9">
        <f t="shared" si="3"/>
        <v>0</v>
      </c>
    </row>
    <row r="64" spans="1:8" ht="15" hidden="1" customHeight="1" thickBot="1" x14ac:dyDescent="0.4">
      <c r="B64" s="247" t="str">
        <f>D_M01!B14</f>
        <v xml:space="preserve">        Window 1 – Vinyl Frame Low-e Double</v>
      </c>
      <c r="C64" s="106"/>
      <c r="D64" s="216">
        <f>D_M01!E14</f>
        <v>0.65</v>
      </c>
      <c r="E64" s="110" t="s">
        <v>63</v>
      </c>
      <c r="F64" s="105" t="s">
        <v>63</v>
      </c>
      <c r="H64" s="9">
        <f t="shared" si="3"/>
        <v>0</v>
      </c>
    </row>
    <row r="65" spans="2:8" ht="15" hidden="1" customHeight="1" thickBot="1" x14ac:dyDescent="0.4">
      <c r="B65" s="247" t="str">
        <f>D_M01!B15</f>
        <v>Wall 2 –faces East, CBS</v>
      </c>
      <c r="C65" s="103"/>
      <c r="D65" s="103"/>
      <c r="E65" s="103"/>
      <c r="F65" s="105" t="str">
        <f>IF(E65="Complies","Pass","Fail")</f>
        <v>Fail</v>
      </c>
      <c r="H65" s="9">
        <f t="shared" si="3"/>
        <v>1</v>
      </c>
    </row>
    <row r="66" spans="2:8" ht="15" hidden="1" customHeight="1" thickBot="1" x14ac:dyDescent="0.4">
      <c r="B66" s="247" t="str">
        <f>D_M01!B16</f>
        <v xml:space="preserve">        Window 2 – Vinyl Frame Low-e Double</v>
      </c>
      <c r="C66" s="106"/>
      <c r="D66" s="216">
        <f>D_M01!E16</f>
        <v>0.65</v>
      </c>
      <c r="E66" s="110" t="s">
        <v>63</v>
      </c>
      <c r="F66" s="105" t="s">
        <v>63</v>
      </c>
      <c r="H66" s="9">
        <f t="shared" si="3"/>
        <v>0</v>
      </c>
    </row>
    <row r="67" spans="2:8" ht="15" hidden="1" customHeight="1" thickBot="1" x14ac:dyDescent="0.4">
      <c r="B67" s="247" t="str">
        <f>D_M01!B17</f>
        <v>Wall 3 –faces South, CBS</v>
      </c>
      <c r="C67" s="103"/>
      <c r="D67" s="103"/>
      <c r="E67" s="103"/>
      <c r="F67" s="105" t="str">
        <f>IF(E67="Complies","Pass","Fail")</f>
        <v>Fail</v>
      </c>
      <c r="H67" s="9">
        <f t="shared" si="3"/>
        <v>1</v>
      </c>
    </row>
    <row r="68" spans="2:8" ht="15" hidden="1" customHeight="1" thickBot="1" x14ac:dyDescent="0.4">
      <c r="B68" s="247" t="str">
        <f>D_M01!B18</f>
        <v xml:space="preserve">        Window 3 – Vinyl Frame Low-e Double</v>
      </c>
      <c r="C68" s="106"/>
      <c r="D68" s="216">
        <f>D_M01!E18</f>
        <v>0.65</v>
      </c>
      <c r="E68" s="110" t="s">
        <v>63</v>
      </c>
      <c r="F68" s="105" t="s">
        <v>63</v>
      </c>
      <c r="H68" s="9">
        <f t="shared" si="3"/>
        <v>0</v>
      </c>
    </row>
    <row r="69" spans="2:8" ht="15" hidden="1" customHeight="1" thickBot="1" x14ac:dyDescent="0.4">
      <c r="B69" s="247" t="str">
        <f>D_M01!B19</f>
        <v>Wall 4 –faces South, Wood3 2x4 Stud</v>
      </c>
      <c r="C69" s="103"/>
      <c r="D69" s="103"/>
      <c r="E69" s="103"/>
      <c r="F69" s="105" t="str">
        <f>IF(E69="U-Factor too high","Pass","Fail")</f>
        <v>Fail</v>
      </c>
      <c r="H69" s="9">
        <f t="shared" si="3"/>
        <v>1</v>
      </c>
    </row>
    <row r="70" spans="2:8" ht="15" hidden="1" customHeight="1" thickBot="1" x14ac:dyDescent="0.4">
      <c r="B70" s="247" t="str">
        <f>D_M01!B20</f>
        <v xml:space="preserve">        Window 4 – Vinyl Frame  Low-e Double</v>
      </c>
      <c r="C70" s="106"/>
      <c r="D70" s="216">
        <f>D_M01!E20</f>
        <v>0.65</v>
      </c>
      <c r="E70" s="110" t="s">
        <v>63</v>
      </c>
      <c r="F70" s="105" t="s">
        <v>63</v>
      </c>
      <c r="H70" s="9">
        <f t="shared" si="3"/>
        <v>0</v>
      </c>
    </row>
    <row r="71" spans="2:8" ht="15" hidden="1" customHeight="1" thickBot="1" x14ac:dyDescent="0.4">
      <c r="B71" s="247" t="str">
        <f>D_M01!B21</f>
        <v>Wall 5 –faces West, CBS</v>
      </c>
      <c r="C71" s="103"/>
      <c r="D71" s="103"/>
      <c r="E71" s="103"/>
      <c r="F71" s="105" t="str">
        <f>IF(E71="Complies","Pass","Fail")</f>
        <v>Fail</v>
      </c>
      <c r="H71" s="9">
        <f t="shared" si="3"/>
        <v>1</v>
      </c>
    </row>
    <row r="72" spans="2:8" ht="15" hidden="1" customHeight="1" thickBot="1" x14ac:dyDescent="0.4">
      <c r="B72" s="247" t="str">
        <f>D_M01!B22</f>
        <v xml:space="preserve">        Window 5 – Vinyl Frame Low-e Double</v>
      </c>
      <c r="C72" s="106"/>
      <c r="D72" s="216">
        <f>D_M01!E22</f>
        <v>0.65</v>
      </c>
      <c r="E72" s="110" t="s">
        <v>63</v>
      </c>
      <c r="F72" s="105" t="s">
        <v>63</v>
      </c>
      <c r="H72" s="9">
        <f t="shared" si="3"/>
        <v>0</v>
      </c>
    </row>
    <row r="73" spans="2:8" ht="15" hidden="1" customHeight="1" thickBot="1" x14ac:dyDescent="0.4">
      <c r="B73" s="247" t="str">
        <f>D_M01!B23</f>
        <v>Infiltration</v>
      </c>
      <c r="C73" s="106"/>
      <c r="D73" s="106"/>
      <c r="E73" s="112"/>
      <c r="F73" s="105" t="str">
        <f>IF(E73="Complies","Pass",IF(E73="Not part of software","Software Doesn't Check","Fail"))</f>
        <v>Fail</v>
      </c>
      <c r="H73" s="9">
        <f t="shared" si="3"/>
        <v>1</v>
      </c>
    </row>
    <row r="74" spans="2:8" ht="15" hidden="1" customHeight="1" thickBot="1" x14ac:dyDescent="0.4">
      <c r="B74" s="247" t="str">
        <f>D_M01!B24</f>
        <v>Heating – heat pump</v>
      </c>
      <c r="C74" s="106"/>
      <c r="D74" s="106"/>
      <c r="E74" s="113"/>
      <c r="F74" s="105" t="str">
        <f>IF(E74="Complies","Pass",IF(E74="Not part of software","Software Doesn't Check","Fail"))</f>
        <v>Fail</v>
      </c>
      <c r="H74" s="9">
        <f t="shared" si="3"/>
        <v>1</v>
      </c>
    </row>
    <row r="75" spans="2:8" ht="15" hidden="1" customHeight="1" thickBot="1" x14ac:dyDescent="0.4">
      <c r="B75" s="247" t="str">
        <f>D_M01!B25</f>
        <v>Cooling – heat pump</v>
      </c>
      <c r="C75" s="106"/>
      <c r="D75" s="106"/>
      <c r="E75" s="112"/>
      <c r="F75" s="105" t="str">
        <f>IF(E75="Complies","Pass",IF(E75="Not part of software","Software Doesn't Check","Fail"))</f>
        <v>Fail</v>
      </c>
      <c r="H75" s="9">
        <f t="shared" si="3"/>
        <v>1</v>
      </c>
    </row>
    <row r="76" spans="2:8" ht="15" hidden="1" customHeight="1" thickBot="1" x14ac:dyDescent="0.4">
      <c r="B76" s="247" t="str">
        <f>D_M01!B26</f>
        <v>Ducts – supply in attic</v>
      </c>
      <c r="C76" s="106"/>
      <c r="D76" s="106"/>
      <c r="E76" s="112"/>
      <c r="F76" s="105" t="str">
        <f>IF(E76="Complies","Pass",IF(E76="Not part of software","Software Doesn't Check","Fail"))</f>
        <v>Fail</v>
      </c>
      <c r="H76" s="9">
        <f t="shared" si="3"/>
        <v>1</v>
      </c>
    </row>
    <row r="77" spans="2:8" ht="15" hidden="1" customHeight="1" thickBot="1" x14ac:dyDescent="0.4">
      <c r="B77" s="247" t="str">
        <f>D_M01!B27</f>
        <v>Ducts – Return in Conditioned Space</v>
      </c>
      <c r="C77" s="106"/>
      <c r="D77" s="106"/>
      <c r="E77" s="112"/>
      <c r="F77" s="105" t="str">
        <f t="shared" ref="F77:F85" si="4">IF(E77="Complies","Pass",IF(E77="Not part of software","Software Doesn't Check","Fail"))</f>
        <v>Fail</v>
      </c>
      <c r="H77" s="9">
        <f t="shared" si="3"/>
        <v>1</v>
      </c>
    </row>
    <row r="78" spans="2:8" ht="15" hidden="1" customHeight="1" thickBot="1" x14ac:dyDescent="0.4">
      <c r="B78" s="247" t="str">
        <f>D_M01!B28</f>
        <v>Duct Tightness</v>
      </c>
      <c r="C78" s="106"/>
      <c r="D78" s="106"/>
      <c r="E78" s="112"/>
      <c r="F78" s="105" t="str">
        <f t="shared" si="4"/>
        <v>Fail</v>
      </c>
      <c r="H78" s="9">
        <f t="shared" si="3"/>
        <v>1</v>
      </c>
    </row>
    <row r="79" spans="2:8" ht="15" hidden="1" customHeight="1" thickBot="1" x14ac:dyDescent="0.4">
      <c r="B79" s="247" t="str">
        <f>D_M01!B29</f>
        <v>Air Handler – in Conditioned Space</v>
      </c>
      <c r="C79" s="106"/>
      <c r="D79" s="106"/>
      <c r="E79" s="112"/>
      <c r="F79" s="105" t="str">
        <f t="shared" si="4"/>
        <v>Fail</v>
      </c>
      <c r="H79" s="9">
        <f t="shared" si="3"/>
        <v>1</v>
      </c>
    </row>
    <row r="80" spans="2:8" ht="15" hidden="1" customHeight="1" thickBot="1" x14ac:dyDescent="0.4">
      <c r="B80" s="247" t="str">
        <f>D_M01!B30</f>
        <v>Mechanical Ventilation</v>
      </c>
      <c r="C80" s="106"/>
      <c r="D80" s="106"/>
      <c r="E80" s="103"/>
      <c r="F80" s="105" t="str">
        <f t="shared" si="4"/>
        <v>Fail</v>
      </c>
      <c r="H80" s="9">
        <f t="shared" si="3"/>
        <v>1</v>
      </c>
    </row>
    <row r="81" spans="1:8" ht="15" hidden="1" customHeight="1" thickBot="1" x14ac:dyDescent="0.4">
      <c r="B81" s="247" t="str">
        <f>D_M01!B31</f>
        <v>Hot Water System - electric</v>
      </c>
      <c r="C81" s="106"/>
      <c r="D81" s="106"/>
      <c r="E81" s="112"/>
      <c r="F81" s="105" t="str">
        <f t="shared" si="4"/>
        <v>Fail</v>
      </c>
      <c r="H81" s="9">
        <f t="shared" si="3"/>
        <v>1</v>
      </c>
    </row>
    <row r="82" spans="1:8" ht="15" hidden="1" customHeight="1" thickBot="1" x14ac:dyDescent="0.4">
      <c r="B82" s="247" t="str">
        <f>D_M01!B32</f>
        <v>All Hot Water Lines</v>
      </c>
      <c r="C82" s="106"/>
      <c r="D82" s="106"/>
      <c r="E82" s="112"/>
      <c r="F82" s="105" t="str">
        <f t="shared" si="4"/>
        <v>Fail</v>
      </c>
      <c r="H82" s="9">
        <f t="shared" si="3"/>
        <v>1</v>
      </c>
    </row>
    <row r="83" spans="1:8" ht="15" hidden="1" customHeight="1" thickBot="1" x14ac:dyDescent="0.4">
      <c r="B83" s="247" t="str">
        <f>D_M01!B33</f>
        <v>Hot Water Circulation -none</v>
      </c>
      <c r="C83" s="106"/>
      <c r="D83" s="106"/>
      <c r="E83" s="112"/>
      <c r="F83" s="105" t="str">
        <f t="shared" si="4"/>
        <v>Fail</v>
      </c>
      <c r="H83" s="9">
        <f t="shared" si="3"/>
        <v>1</v>
      </c>
    </row>
    <row r="84" spans="1:8" ht="15" hidden="1" customHeight="1" thickBot="1" x14ac:dyDescent="0.4">
      <c r="B84" s="247" t="str">
        <f>D_M01!B34</f>
        <v>Lighting</v>
      </c>
      <c r="C84" s="106"/>
      <c r="D84" s="106"/>
      <c r="E84" s="112"/>
      <c r="F84" s="105" t="str">
        <f t="shared" si="4"/>
        <v>Fail</v>
      </c>
      <c r="H84" s="9">
        <f t="shared" si="3"/>
        <v>1</v>
      </c>
    </row>
    <row r="85" spans="1:8" ht="15" hidden="1" customHeight="1" thickBot="1" x14ac:dyDescent="0.4">
      <c r="B85" s="247" t="str">
        <f>D_M01!B35</f>
        <v>Pool and Spa - none</v>
      </c>
      <c r="C85" s="106"/>
      <c r="D85" s="106"/>
      <c r="E85" s="112"/>
      <c r="F85" s="105" t="str">
        <f t="shared" si="4"/>
        <v>Fail</v>
      </c>
      <c r="H85" s="9">
        <f t="shared" si="3"/>
        <v>1</v>
      </c>
    </row>
    <row r="86" spans="1:8" ht="15" hidden="1" customHeight="1" thickBot="1" x14ac:dyDescent="0.4">
      <c r="B86" s="248" t="str">
        <f>D_M01!B38</f>
        <v>Area Weighted Fenestration U-Factor Value</v>
      </c>
      <c r="C86" s="106"/>
      <c r="D86" s="106"/>
      <c r="E86" s="104"/>
      <c r="F86" s="105" t="str">
        <f>IF(E86&gt;UA_M01!O27,IF(E86&lt;=UA_M01!O28,"Pass","Fail"),"Fail")</f>
        <v>Fail</v>
      </c>
      <c r="H86" s="9">
        <f t="shared" si="3"/>
        <v>1</v>
      </c>
    </row>
    <row r="87" spans="1:8" ht="15" hidden="1" customHeight="1" thickBot="1" x14ac:dyDescent="0.4">
      <c r="B87" s="248" t="str">
        <f>D_M01!B39</f>
        <v>Area Weighted Fenestration SHGC Value</v>
      </c>
      <c r="C87" s="106"/>
      <c r="D87" s="106"/>
      <c r="E87" s="103"/>
      <c r="F87" s="105" t="str">
        <f>IF(E87&gt;UA_M01!S27,IF(E87&lt;=UA_M01!S28,"Pass","Fail"),"Fail")</f>
        <v>Fail</v>
      </c>
      <c r="H87" s="9">
        <f t="shared" si="3"/>
        <v>1</v>
      </c>
    </row>
    <row r="88" spans="1:8" ht="15" hidden="1" customHeight="1" thickBot="1" x14ac:dyDescent="0.4">
      <c r="B88" s="248" t="str">
        <f>D_M01!B40</f>
        <v>Total Thermal Envelope UA Value</v>
      </c>
      <c r="C88" s="106"/>
      <c r="D88" s="106"/>
      <c r="E88" s="110" t="s">
        <v>63</v>
      </c>
      <c r="F88" s="105" t="s">
        <v>63</v>
      </c>
      <c r="H88" s="9">
        <f t="shared" si="3"/>
        <v>0</v>
      </c>
    </row>
    <row r="89" spans="1:8" ht="15" hidden="1" customHeight="1" thickBot="1" x14ac:dyDescent="0.4">
      <c r="B89" s="248" t="str">
        <f>D_M01!B41</f>
        <v>Area Weighted Fenestration U-Factor Result</v>
      </c>
      <c r="C89" s="106"/>
      <c r="D89" s="110"/>
      <c r="E89" s="103"/>
      <c r="F89" s="105" t="str">
        <f>IF(E89="Average U too high","Pass","Fail")</f>
        <v>Fail</v>
      </c>
      <c r="H89" s="9">
        <f t="shared" si="3"/>
        <v>1</v>
      </c>
    </row>
    <row r="90" spans="1:8" ht="15" hidden="1" customHeight="1" thickBot="1" x14ac:dyDescent="0.4">
      <c r="B90" s="248" t="str">
        <f>D_M01!B42</f>
        <v>Area Weighted Fenestration SHGC Result</v>
      </c>
      <c r="C90" s="106"/>
      <c r="D90" s="110"/>
      <c r="E90" s="103"/>
      <c r="F90" s="105" t="str">
        <f>IF(E90="Complies","Pass","Fail")</f>
        <v>Fail</v>
      </c>
      <c r="H90" s="9">
        <f t="shared" si="3"/>
        <v>1</v>
      </c>
    </row>
    <row r="91" spans="1:8" ht="15" hidden="1" customHeight="1" thickBot="1" x14ac:dyDescent="0.4">
      <c r="B91" s="248" t="str">
        <f>D_M01!B43</f>
        <v>Baseline Thermal Envelope UA Value</v>
      </c>
      <c r="C91" s="106"/>
      <c r="D91" s="110"/>
      <c r="E91" s="110" t="s">
        <v>63</v>
      </c>
      <c r="F91" s="105" t="s">
        <v>63</v>
      </c>
      <c r="H91" s="9">
        <f t="shared" si="3"/>
        <v>0</v>
      </c>
    </row>
    <row r="92" spans="1:8" ht="15" hidden="1" customHeight="1" thickBot="1" x14ac:dyDescent="0.4">
      <c r="B92" s="248" t="str">
        <f>D_M01!B44</f>
        <v>Total Thermal Envelope UA Result</v>
      </c>
      <c r="C92" s="106"/>
      <c r="D92" s="110"/>
      <c r="E92" s="110" t="s">
        <v>63</v>
      </c>
      <c r="F92" s="105" t="s">
        <v>63</v>
      </c>
      <c r="H92" s="9">
        <f t="shared" si="3"/>
        <v>0</v>
      </c>
    </row>
    <row r="93" spans="1:8" ht="15" hidden="1" customHeight="1" thickBot="1" x14ac:dyDescent="0.4">
      <c r="B93" s="248" t="str">
        <f>D_M01!B45</f>
        <v>House Complies?</v>
      </c>
      <c r="C93" s="106"/>
      <c r="D93" s="110"/>
      <c r="E93" s="103"/>
      <c r="F93" s="105" t="str">
        <f>IF(E93="No","Pass","Fail")</f>
        <v>Fail</v>
      </c>
      <c r="H93" s="9">
        <f t="shared" si="3"/>
        <v>1</v>
      </c>
    </row>
    <row r="94" spans="1:8" ht="21" hidden="1" customHeight="1" x14ac:dyDescent="0.6">
      <c r="B94" s="19"/>
      <c r="E94" s="24" t="s">
        <v>85</v>
      </c>
      <c r="F94" s="16" t="str">
        <f>IF(H94&gt;0,"FAIL","PASS")</f>
        <v>FAIL</v>
      </c>
      <c r="H94">
        <f xml:space="preserve"> SUM(H58:H93)</f>
        <v>27</v>
      </c>
    </row>
    <row r="95" spans="1:8" ht="7.9" hidden="1" customHeight="1" x14ac:dyDescent="0.35">
      <c r="A95" s="2"/>
      <c r="B95" s="21"/>
      <c r="C95" s="2"/>
      <c r="D95" s="2"/>
      <c r="E95" s="25"/>
      <c r="F95" s="2"/>
    </row>
    <row r="96" spans="1:8" x14ac:dyDescent="0.35">
      <c r="B96" s="19"/>
      <c r="E96" s="26"/>
    </row>
    <row r="97" spans="1:8" ht="7.9" customHeight="1" x14ac:dyDescent="0.35">
      <c r="A97" s="14"/>
      <c r="B97" s="23"/>
      <c r="C97" s="14"/>
      <c r="D97" s="14"/>
      <c r="E97" s="27"/>
      <c r="F97" s="14"/>
    </row>
    <row r="98" spans="1:8" x14ac:dyDescent="0.35">
      <c r="B98" s="19"/>
      <c r="E98" s="26"/>
    </row>
    <row r="99" spans="1:8" ht="32.25" customHeight="1" x14ac:dyDescent="0.35">
      <c r="B99" s="115" t="s">
        <v>25</v>
      </c>
      <c r="C99" s="102" t="s">
        <v>27</v>
      </c>
      <c r="D99" s="507" t="str">
        <f>IF(Instructions!D2="","Enter Vendor's Software Name In Instruction Sheet",Instructions!D2)</f>
        <v xml:space="preserve">EnergyGauge USA </v>
      </c>
      <c r="E99" s="507"/>
    </row>
    <row r="100" spans="1:8" x14ac:dyDescent="0.35">
      <c r="B100" s="22" t="s">
        <v>79</v>
      </c>
      <c r="E100" s="26"/>
    </row>
    <row r="101" spans="1:8" x14ac:dyDescent="0.35">
      <c r="B101" s="30" t="s">
        <v>112</v>
      </c>
      <c r="C101" s="1"/>
      <c r="D101" s="8" t="s">
        <v>84</v>
      </c>
      <c r="E101" s="28"/>
    </row>
    <row r="102" spans="1:8" x14ac:dyDescent="0.35">
      <c r="B102" s="31" t="s">
        <v>113</v>
      </c>
      <c r="C102" s="3"/>
      <c r="D102" s="3"/>
      <c r="E102" s="26"/>
    </row>
    <row r="103" spans="1:8" x14ac:dyDescent="0.35">
      <c r="B103" s="250" t="str">
        <f>D_M01!B4</f>
        <v>House Pr-M01</v>
      </c>
      <c r="C103" s="10" t="s">
        <v>77</v>
      </c>
      <c r="D103" s="10"/>
      <c r="E103" s="29" t="s">
        <v>243</v>
      </c>
      <c r="F103" s="116" t="s">
        <v>88</v>
      </c>
    </row>
    <row r="104" spans="1:8" ht="15" thickBot="1" x14ac:dyDescent="0.4">
      <c r="B104" s="19"/>
      <c r="C104" s="10" t="s">
        <v>87</v>
      </c>
      <c r="D104" s="10" t="s">
        <v>77</v>
      </c>
      <c r="E104" s="29" t="s">
        <v>86</v>
      </c>
      <c r="F104" s="116" t="s">
        <v>90</v>
      </c>
    </row>
    <row r="105" spans="1:8" ht="15" thickBot="1" x14ac:dyDescent="0.4">
      <c r="B105" s="246" t="str">
        <f>D_M01!B8</f>
        <v>Slab-on-grade Floor</v>
      </c>
      <c r="C105" s="106"/>
      <c r="D105" s="106"/>
      <c r="E105" s="110" t="s">
        <v>63</v>
      </c>
      <c r="F105" s="105" t="s">
        <v>63</v>
      </c>
      <c r="H105" s="9">
        <f t="shared" ref="H105:H140" si="5">IF(OR(F105="Not applicable",F105="Software Doesn't Check",F105="Pass"),0,1)</f>
        <v>0</v>
      </c>
    </row>
    <row r="106" spans="1:8" ht="15" thickBot="1" x14ac:dyDescent="0.4">
      <c r="B106" s="247" t="str">
        <f>D_M01!B9</f>
        <v>Roof – gable type- 5 in 12 slope No overhangs</v>
      </c>
      <c r="C106" s="106"/>
      <c r="D106" s="106"/>
      <c r="E106" s="110" t="s">
        <v>63</v>
      </c>
      <c r="F106" s="105" t="s">
        <v>63</v>
      </c>
      <c r="H106" s="9">
        <f t="shared" si="5"/>
        <v>0</v>
      </c>
    </row>
    <row r="107" spans="1:8" ht="15" thickBot="1" x14ac:dyDescent="0.4">
      <c r="B107" s="247" t="str">
        <f>D_M01!B10</f>
        <v>Ceiling1 –flat under attic</v>
      </c>
      <c r="C107" s="103" t="s">
        <v>118</v>
      </c>
      <c r="D107" s="103">
        <v>3.5000000000000003E-2</v>
      </c>
      <c r="E107" s="110" t="s">
        <v>63</v>
      </c>
      <c r="F107" s="105" t="s">
        <v>63</v>
      </c>
      <c r="H107" s="9">
        <f t="shared" si="5"/>
        <v>0</v>
      </c>
    </row>
    <row r="108" spans="1:8" ht="15" thickBot="1" x14ac:dyDescent="0.4">
      <c r="B108" s="247" t="str">
        <f>D_M01!B11</f>
        <v xml:space="preserve">        Skylight</v>
      </c>
      <c r="C108" s="110"/>
      <c r="D108" s="217">
        <f>D_M01!E11</f>
        <v>0.75</v>
      </c>
      <c r="E108" s="103" t="s">
        <v>93</v>
      </c>
      <c r="F108" s="105" t="str">
        <f>IF(E108="Complies","Pass","Fail")</f>
        <v>Pass</v>
      </c>
      <c r="H108" s="9">
        <f t="shared" si="5"/>
        <v>0</v>
      </c>
    </row>
    <row r="109" spans="1:8" ht="15" thickBot="1" x14ac:dyDescent="0.4">
      <c r="B109" s="247" t="str">
        <f>D_M01!B12</f>
        <v>Wall 1 –faces North, CBS2</v>
      </c>
      <c r="C109" s="103" t="s">
        <v>81</v>
      </c>
      <c r="D109" s="103">
        <v>0.128</v>
      </c>
      <c r="E109" s="110" t="s">
        <v>63</v>
      </c>
      <c r="F109" s="105" t="s">
        <v>63</v>
      </c>
      <c r="H109" s="9">
        <f t="shared" si="5"/>
        <v>0</v>
      </c>
    </row>
    <row r="110" spans="1:8" ht="15" thickBot="1" x14ac:dyDescent="0.4">
      <c r="B110" s="247" t="str">
        <f>D_M01!B13</f>
        <v xml:space="preserve">        Door 1 - </v>
      </c>
      <c r="C110" s="110"/>
      <c r="D110" s="217">
        <f>D_M01!E13</f>
        <v>0.65</v>
      </c>
      <c r="E110" s="110" t="s">
        <v>63</v>
      </c>
      <c r="F110" s="105" t="s">
        <v>63</v>
      </c>
      <c r="H110" s="9">
        <f t="shared" si="5"/>
        <v>0</v>
      </c>
    </row>
    <row r="111" spans="1:8" ht="15" thickBot="1" x14ac:dyDescent="0.4">
      <c r="B111" s="247" t="str">
        <f>D_M01!B14</f>
        <v xml:space="preserve">        Window 1 – Vinyl Frame Low-e Double</v>
      </c>
      <c r="C111" s="110"/>
      <c r="D111" s="217">
        <f>D_M01!E14</f>
        <v>0.65</v>
      </c>
      <c r="E111" s="110" t="s">
        <v>63</v>
      </c>
      <c r="F111" s="105" t="s">
        <v>63</v>
      </c>
      <c r="H111" s="9">
        <f t="shared" si="5"/>
        <v>0</v>
      </c>
    </row>
    <row r="112" spans="1:8" ht="15" thickBot="1" x14ac:dyDescent="0.4">
      <c r="B112" s="247" t="str">
        <f>D_M01!B15</f>
        <v>Wall 2 –faces East, CBS</v>
      </c>
      <c r="C112" s="103" t="s">
        <v>81</v>
      </c>
      <c r="D112" s="103">
        <v>0.128</v>
      </c>
      <c r="E112" s="110" t="s">
        <v>63</v>
      </c>
      <c r="F112" s="105" t="s">
        <v>63</v>
      </c>
      <c r="H112" s="9">
        <f t="shared" si="5"/>
        <v>0</v>
      </c>
    </row>
    <row r="113" spans="2:8" ht="15" thickBot="1" x14ac:dyDescent="0.4">
      <c r="B113" s="247" t="str">
        <f>D_M01!B16</f>
        <v xml:space="preserve">        Window 2 – Vinyl Frame Low-e Double</v>
      </c>
      <c r="C113" s="110"/>
      <c r="D113" s="217">
        <f>D_M01!E16</f>
        <v>0.65</v>
      </c>
      <c r="E113" s="110" t="s">
        <v>63</v>
      </c>
      <c r="F113" s="105" t="s">
        <v>63</v>
      </c>
      <c r="H113" s="9">
        <f t="shared" si="5"/>
        <v>0</v>
      </c>
    </row>
    <row r="114" spans="2:8" ht="15" thickBot="1" x14ac:dyDescent="0.4">
      <c r="B114" s="247" t="str">
        <f>D_M01!B17</f>
        <v>Wall 3 –faces South, CBS</v>
      </c>
      <c r="C114" s="103" t="s">
        <v>81</v>
      </c>
      <c r="D114" s="103">
        <v>0.128</v>
      </c>
      <c r="E114" s="110" t="s">
        <v>63</v>
      </c>
      <c r="F114" s="105" t="s">
        <v>63</v>
      </c>
      <c r="H114" s="9">
        <f t="shared" si="5"/>
        <v>0</v>
      </c>
    </row>
    <row r="115" spans="2:8" ht="15" thickBot="1" x14ac:dyDescent="0.4">
      <c r="B115" s="247" t="str">
        <f>D_M01!B18</f>
        <v xml:space="preserve">        Window 3 – Vinyl Frame Low-e Double</v>
      </c>
      <c r="C115" s="110"/>
      <c r="D115" s="217">
        <f>D_M01!E18</f>
        <v>0.65</v>
      </c>
      <c r="E115" s="110" t="s">
        <v>63</v>
      </c>
      <c r="F115" s="105" t="s">
        <v>63</v>
      </c>
      <c r="H115" s="9">
        <f t="shared" si="5"/>
        <v>0</v>
      </c>
    </row>
    <row r="116" spans="2:8" ht="15" thickBot="1" x14ac:dyDescent="0.4">
      <c r="B116" s="247" t="str">
        <f>D_M01!B19</f>
        <v>Wall 4 –faces South, Wood3 2x4 Stud</v>
      </c>
      <c r="C116" s="103" t="s">
        <v>81</v>
      </c>
      <c r="D116" s="103">
        <v>8.5999999999999993E-2</v>
      </c>
      <c r="E116" s="110" t="s">
        <v>63</v>
      </c>
      <c r="F116" s="105" t="s">
        <v>63</v>
      </c>
      <c r="H116" s="9">
        <f t="shared" si="5"/>
        <v>0</v>
      </c>
    </row>
    <row r="117" spans="2:8" ht="15" thickBot="1" x14ac:dyDescent="0.4">
      <c r="B117" s="247" t="str">
        <f>D_M01!B20</f>
        <v xml:space="preserve">        Window 4 – Vinyl Frame  Low-e Double</v>
      </c>
      <c r="C117" s="110"/>
      <c r="D117" s="217">
        <f>D_M01!E20</f>
        <v>0.65</v>
      </c>
      <c r="E117" s="110" t="s">
        <v>63</v>
      </c>
      <c r="F117" s="105" t="s">
        <v>63</v>
      </c>
      <c r="H117" s="9">
        <f t="shared" si="5"/>
        <v>0</v>
      </c>
    </row>
    <row r="118" spans="2:8" ht="15" thickBot="1" x14ac:dyDescent="0.4">
      <c r="B118" s="247" t="str">
        <f>D_M01!B21</f>
        <v>Wall 5 –faces West, CBS</v>
      </c>
      <c r="C118" s="103" t="s">
        <v>81</v>
      </c>
      <c r="D118" s="103">
        <v>0.128</v>
      </c>
      <c r="E118" s="110" t="s">
        <v>63</v>
      </c>
      <c r="F118" s="105" t="s">
        <v>63</v>
      </c>
      <c r="H118" s="9">
        <f t="shared" si="5"/>
        <v>0</v>
      </c>
    </row>
    <row r="119" spans="2:8" ht="15" thickBot="1" x14ac:dyDescent="0.4">
      <c r="B119" s="247" t="str">
        <f>D_M01!B22</f>
        <v xml:space="preserve">        Window 5 – Vinyl Frame Low-e Double</v>
      </c>
      <c r="C119" s="106"/>
      <c r="D119" s="216">
        <f>D_M01!E22</f>
        <v>0.65</v>
      </c>
      <c r="E119" s="110" t="s">
        <v>63</v>
      </c>
      <c r="F119" s="105" t="s">
        <v>63</v>
      </c>
      <c r="H119" s="9">
        <f t="shared" si="5"/>
        <v>0</v>
      </c>
    </row>
    <row r="120" spans="2:8" ht="15" thickBot="1" x14ac:dyDescent="0.4">
      <c r="B120" s="247" t="str">
        <f>D_M01!B23</f>
        <v>Infiltration</v>
      </c>
      <c r="C120" s="106"/>
      <c r="D120" s="106"/>
      <c r="E120" s="112" t="s">
        <v>93</v>
      </c>
      <c r="F120" s="105" t="str">
        <f>IF(E120="Complies","Pass",IF(E120="Not part of software","Software Doesn't Check","Fail"))</f>
        <v>Pass</v>
      </c>
      <c r="H120" s="9">
        <f t="shared" si="5"/>
        <v>0</v>
      </c>
    </row>
    <row r="121" spans="2:8" ht="15" thickBot="1" x14ac:dyDescent="0.4">
      <c r="B121" s="247" t="str">
        <f>D_M01!B24</f>
        <v>Heating – heat pump</v>
      </c>
      <c r="C121" s="106"/>
      <c r="D121" s="106"/>
      <c r="E121" s="113" t="s">
        <v>93</v>
      </c>
      <c r="F121" s="105" t="str">
        <f>IF(E121="Complies","Pass",IF(E121="Not part of software","Software Doesn't Check","Fail"))</f>
        <v>Pass</v>
      </c>
      <c r="H121" s="9">
        <f t="shared" si="5"/>
        <v>0</v>
      </c>
    </row>
    <row r="122" spans="2:8" ht="15" thickBot="1" x14ac:dyDescent="0.4">
      <c r="B122" s="247" t="str">
        <f>D_M01!B25</f>
        <v>Cooling – heat pump</v>
      </c>
      <c r="C122" s="106"/>
      <c r="D122" s="106"/>
      <c r="E122" s="112" t="s">
        <v>93</v>
      </c>
      <c r="F122" s="105" t="str">
        <f>IF(E122="Complies","Pass",IF(E122="Not part of software","Software Doesn't Check","Fail"))</f>
        <v>Pass</v>
      </c>
      <c r="H122" s="9">
        <f t="shared" si="5"/>
        <v>0</v>
      </c>
    </row>
    <row r="123" spans="2:8" ht="15" thickBot="1" x14ac:dyDescent="0.4">
      <c r="B123" s="247" t="str">
        <f>D_M01!B26</f>
        <v>Ducts – supply in attic</v>
      </c>
      <c r="C123" s="106"/>
      <c r="D123" s="106"/>
      <c r="E123" s="112" t="s">
        <v>93</v>
      </c>
      <c r="F123" s="105" t="str">
        <f>IF(E123="Complies","Pass",IF(E123="Not part of software","Software Doesn't Check","Fail"))</f>
        <v>Pass</v>
      </c>
      <c r="H123" s="9">
        <f t="shared" si="5"/>
        <v>0</v>
      </c>
    </row>
    <row r="124" spans="2:8" ht="15" thickBot="1" x14ac:dyDescent="0.4">
      <c r="B124" s="247" t="str">
        <f>D_M01!B27</f>
        <v>Ducts – Return in Conditioned Space</v>
      </c>
      <c r="C124" s="106"/>
      <c r="D124" s="106"/>
      <c r="E124" s="112" t="s">
        <v>93</v>
      </c>
      <c r="F124" s="105" t="str">
        <f t="shared" ref="F124:F132" si="6">IF(E124="Complies","Pass",IF(E124="Not part of software","Software Doesn't Check","Fail"))</f>
        <v>Pass</v>
      </c>
      <c r="H124" s="9">
        <f t="shared" si="5"/>
        <v>0</v>
      </c>
    </row>
    <row r="125" spans="2:8" ht="15" thickBot="1" x14ac:dyDescent="0.4">
      <c r="B125" s="247" t="str">
        <f>D_M01!B28</f>
        <v>Duct Tightness</v>
      </c>
      <c r="C125" s="106"/>
      <c r="D125" s="106"/>
      <c r="E125" s="112" t="s">
        <v>93</v>
      </c>
      <c r="F125" s="105" t="str">
        <f t="shared" si="6"/>
        <v>Pass</v>
      </c>
      <c r="H125" s="9">
        <f t="shared" si="5"/>
        <v>0</v>
      </c>
    </row>
    <row r="126" spans="2:8" ht="15" thickBot="1" x14ac:dyDescent="0.4">
      <c r="B126" s="247" t="str">
        <f>D_M01!B29</f>
        <v>Air Handler – in Conditioned Space</v>
      </c>
      <c r="C126" s="106"/>
      <c r="D126" s="106"/>
      <c r="E126" s="112" t="s">
        <v>93</v>
      </c>
      <c r="F126" s="105" t="str">
        <f t="shared" si="6"/>
        <v>Pass</v>
      </c>
      <c r="H126" s="9">
        <f t="shared" si="5"/>
        <v>0</v>
      </c>
    </row>
    <row r="127" spans="2:8" ht="15" thickBot="1" x14ac:dyDescent="0.4">
      <c r="B127" s="247" t="str">
        <f>D_M01!B30</f>
        <v>Mechanical Ventilation</v>
      </c>
      <c r="C127" s="106"/>
      <c r="D127" s="106"/>
      <c r="E127" s="103" t="s">
        <v>93</v>
      </c>
      <c r="F127" s="105" t="str">
        <f t="shared" si="6"/>
        <v>Pass</v>
      </c>
      <c r="H127" s="9">
        <f t="shared" si="5"/>
        <v>0</v>
      </c>
    </row>
    <row r="128" spans="2:8" ht="15" thickBot="1" x14ac:dyDescent="0.4">
      <c r="B128" s="247" t="str">
        <f>D_M01!B31</f>
        <v>Hot Water System - electric</v>
      </c>
      <c r="C128" s="106"/>
      <c r="D128" s="106"/>
      <c r="E128" s="112" t="s">
        <v>93</v>
      </c>
      <c r="F128" s="105" t="str">
        <f t="shared" si="6"/>
        <v>Pass</v>
      </c>
      <c r="H128" s="9">
        <f t="shared" si="5"/>
        <v>0</v>
      </c>
    </row>
    <row r="129" spans="1:8" ht="15" thickBot="1" x14ac:dyDescent="0.4">
      <c r="B129" s="247" t="str">
        <f>D_M01!B32</f>
        <v>All Hot Water Lines</v>
      </c>
      <c r="C129" s="106"/>
      <c r="D129" s="106"/>
      <c r="E129" s="112" t="s">
        <v>56</v>
      </c>
      <c r="F129" s="105" t="str">
        <f t="shared" si="6"/>
        <v>Software Doesn't Check</v>
      </c>
      <c r="H129" s="9">
        <f t="shared" si="5"/>
        <v>0</v>
      </c>
    </row>
    <row r="130" spans="1:8" ht="15" thickBot="1" x14ac:dyDescent="0.4">
      <c r="B130" s="247" t="str">
        <f>D_M01!B33</f>
        <v>Hot Water Circulation -none</v>
      </c>
      <c r="C130" s="106"/>
      <c r="D130" s="106"/>
      <c r="E130" s="112" t="s">
        <v>56</v>
      </c>
      <c r="F130" s="105" t="str">
        <f t="shared" si="6"/>
        <v>Software Doesn't Check</v>
      </c>
      <c r="H130" s="9">
        <f t="shared" si="5"/>
        <v>0</v>
      </c>
    </row>
    <row r="131" spans="1:8" ht="15" thickBot="1" x14ac:dyDescent="0.4">
      <c r="B131" s="247" t="str">
        <f>D_M01!B34</f>
        <v>Lighting</v>
      </c>
      <c r="C131" s="106"/>
      <c r="D131" s="106"/>
      <c r="E131" s="112" t="s">
        <v>93</v>
      </c>
      <c r="F131" s="105" t="str">
        <f t="shared" si="6"/>
        <v>Pass</v>
      </c>
      <c r="H131" s="9">
        <f t="shared" si="5"/>
        <v>0</v>
      </c>
    </row>
    <row r="132" spans="1:8" ht="15" thickBot="1" x14ac:dyDescent="0.4">
      <c r="B132" s="247" t="str">
        <f>D_M01!B35</f>
        <v>Pool and Spa - none</v>
      </c>
      <c r="C132" s="106"/>
      <c r="D132" s="106"/>
      <c r="E132" s="112" t="s">
        <v>56</v>
      </c>
      <c r="F132" s="105" t="str">
        <f t="shared" si="6"/>
        <v>Software Doesn't Check</v>
      </c>
      <c r="H132" s="9">
        <f t="shared" si="5"/>
        <v>0</v>
      </c>
    </row>
    <row r="133" spans="1:8" ht="15" thickBot="1" x14ac:dyDescent="0.4">
      <c r="B133" s="248" t="str">
        <f>D_M01!B38</f>
        <v>Area Weighted Fenestration U-Factor Value</v>
      </c>
      <c r="C133" s="106"/>
      <c r="D133" s="106"/>
      <c r="E133" s="110"/>
      <c r="F133" s="105" t="s">
        <v>63</v>
      </c>
      <c r="H133" s="9">
        <f t="shared" si="5"/>
        <v>0</v>
      </c>
    </row>
    <row r="134" spans="1:8" ht="50.25" customHeight="1" thickBot="1" x14ac:dyDescent="0.4">
      <c r="B134" s="248" t="str">
        <f>D_M01!B39</f>
        <v>Area Weighted Fenestration SHGC Value</v>
      </c>
      <c r="C134" s="106"/>
      <c r="D134" s="106"/>
      <c r="E134" s="103">
        <v>0.25</v>
      </c>
      <c r="F134" s="105" t="str">
        <f>IF(E134&gt;UA_M01!S27,IF(E134&lt;=UA_M01!S28,"Pass","Fail"),"Fail")</f>
        <v>Pass</v>
      </c>
      <c r="H134" s="9">
        <f t="shared" si="5"/>
        <v>0</v>
      </c>
    </row>
    <row r="135" spans="1:8" ht="15" thickBot="1" x14ac:dyDescent="0.4">
      <c r="B135" s="248" t="str">
        <f>D_M01!B40</f>
        <v>Total Thermal Envelope UA Value</v>
      </c>
      <c r="C135" s="106"/>
      <c r="D135" s="106"/>
      <c r="E135" s="103">
        <v>474.2</v>
      </c>
      <c r="F135" s="105" t="str">
        <f>IF(E135&gt;=UA_M01!H27,IF(E135&lt;=UA_M01!H28,"Pass","Fail"),"Fail")</f>
        <v>Pass</v>
      </c>
      <c r="H135" s="9">
        <f t="shared" si="5"/>
        <v>0</v>
      </c>
    </row>
    <row r="136" spans="1:8" ht="15" thickBot="1" x14ac:dyDescent="0.4">
      <c r="B136" s="248" t="str">
        <f>D_M01!B41</f>
        <v>Area Weighted Fenestration U-Factor Result</v>
      </c>
      <c r="C136" s="106"/>
      <c r="D136" s="106"/>
      <c r="E136" s="110"/>
      <c r="F136" s="105" t="s">
        <v>63</v>
      </c>
      <c r="H136" s="9">
        <f t="shared" si="5"/>
        <v>0</v>
      </c>
    </row>
    <row r="137" spans="1:8" ht="15" thickBot="1" x14ac:dyDescent="0.4">
      <c r="B137" s="248" t="str">
        <f>D_M01!B42</f>
        <v>Area Weighted Fenestration SHGC Result</v>
      </c>
      <c r="C137" s="106"/>
      <c r="D137" s="106"/>
      <c r="E137" s="103" t="s">
        <v>93</v>
      </c>
      <c r="F137" s="105" t="str">
        <f>IF(E137="Complies","Pass","Fail")</f>
        <v>Pass</v>
      </c>
      <c r="H137" s="9">
        <f t="shared" si="5"/>
        <v>0</v>
      </c>
    </row>
    <row r="138" spans="1:8" ht="18" customHeight="1" thickBot="1" x14ac:dyDescent="0.4">
      <c r="B138" s="248" t="str">
        <f>D_M01!B43</f>
        <v>Baseline Thermal Envelope UA Value</v>
      </c>
      <c r="C138" s="106"/>
      <c r="D138" s="106"/>
      <c r="E138" s="103">
        <v>484.4</v>
      </c>
      <c r="F138" s="468" t="str">
        <f>IF(E138&gt;=UA_M01!J27,IF(E138&lt;=UA_M01!J28,"Pass","Fail"),"Fail")</f>
        <v>Pass</v>
      </c>
      <c r="H138" s="9">
        <f t="shared" si="5"/>
        <v>0</v>
      </c>
    </row>
    <row r="139" spans="1:8" ht="15" thickBot="1" x14ac:dyDescent="0.4">
      <c r="B139" s="248" t="str">
        <f>D_M01!B44</f>
        <v>Total Thermal Envelope UA Result</v>
      </c>
      <c r="C139" s="106"/>
      <c r="D139" s="106"/>
      <c r="E139" s="467" t="s">
        <v>93</v>
      </c>
      <c r="F139" s="105" t="str">
        <f>IF(E139="Complies","Pass","Fail")</f>
        <v>Pass</v>
      </c>
      <c r="H139" s="9">
        <f t="shared" si="5"/>
        <v>0</v>
      </c>
    </row>
    <row r="140" spans="1:8" ht="15" thickBot="1" x14ac:dyDescent="0.4">
      <c r="B140" s="248" t="str">
        <f>D_M01!B45</f>
        <v>House Complies?</v>
      </c>
      <c r="C140" s="106"/>
      <c r="D140" s="106"/>
      <c r="E140" s="467" t="s">
        <v>119</v>
      </c>
      <c r="F140" s="105" t="str">
        <f>IF(E140="Yes","Pass","Fail")</f>
        <v>Pass</v>
      </c>
      <c r="H140" s="9">
        <f t="shared" si="5"/>
        <v>0</v>
      </c>
    </row>
    <row r="141" spans="1:8" ht="21.65" customHeight="1" x14ac:dyDescent="0.6">
      <c r="E141" s="15" t="s">
        <v>85</v>
      </c>
      <c r="F141" s="16" t="str">
        <f>IF(H141&gt;0,"FAIL","PASS")</f>
        <v>PASS</v>
      </c>
      <c r="H141">
        <f xml:space="preserve"> SUM(H105:H140)</f>
        <v>0</v>
      </c>
    </row>
    <row r="142" spans="1:8" ht="8.5" customHeight="1" x14ac:dyDescent="0.35">
      <c r="A142" s="14"/>
      <c r="B142" s="14"/>
      <c r="C142" s="14"/>
      <c r="D142" s="14"/>
      <c r="E142" s="14"/>
      <c r="F142" s="14"/>
      <c r="G142" s="14"/>
    </row>
  </sheetData>
  <sheetProtection algorithmName="SHA-512" hashValue="8utV6B+rT94kdcl476KG+ukGmkk9xvuOFr8+JGNYEou/ghIXxRuqpoqoee7NZSKYRWT5Lm6BWjyGQXec4GTWNQ==" saltValue="Wki+FDxPSOiWsb6Dx+xMtg==" spinCount="100000" sheet="1" objects="1" scenarios="1"/>
  <mergeCells count="3">
    <mergeCell ref="D3:E3"/>
    <mergeCell ref="D52:E52"/>
    <mergeCell ref="D99:E99"/>
  </mergeCells>
  <dataValidations count="28">
    <dataValidation type="list" allowBlank="1" showInputMessage="1" showErrorMessage="1" sqref="E127 E80 C33">
      <formula1>MechanicalVent</formula1>
    </dataValidation>
    <dataValidation type="list" allowBlank="1" showInputMessage="1" showErrorMessage="1" sqref="E93 C46 E140">
      <formula1>Complies</formula1>
    </dataValidation>
    <dataValidation type="list" allowBlank="1" showInputMessage="1" showErrorMessage="1" sqref="C60 C107 C109 C112 C114 C116 C118 C62 C65 C67 C69 C71">
      <formula1>UCalcMethod</formula1>
    </dataValidation>
    <dataValidation type="decimal" allowBlank="1" showInputMessage="1" showErrorMessage="1" sqref="D135 D138">
      <formula1>0</formula1>
      <formula2>1000</formula2>
    </dataValidation>
    <dataValidation type="list" allowBlank="1" showInputMessage="1" showErrorMessage="1" sqref="C41 C44:C45 E139">
      <formula1>TotalUA</formula1>
    </dataValidation>
    <dataValidation type="list" allowBlank="1" showInputMessage="1" showErrorMessage="1" sqref="C43 E90 E137">
      <formula1>OverallFenSHGC</formula1>
    </dataValidation>
    <dataValidation type="list" allowBlank="1" showInputMessage="1" showErrorMessage="1" sqref="C42 E89">
      <formula1>OverallFenU</formula1>
    </dataValidation>
    <dataValidation type="decimal" allowBlank="1" showInputMessage="1" showErrorMessage="1" sqref="D107 D65 D60 D62 C40 D109 D67 D116 D114 D112 D71 D69 D118">
      <formula1>0</formula1>
      <formula2>1</formula2>
    </dataValidation>
    <dataValidation type="decimal" allowBlank="1" showInputMessage="1" showErrorMessage="1" sqref="C39 D72 D61 D110:D111 D63:D64 D66 D68 D113 D115 D117 D108 D70 D119">
      <formula1>0</formula1>
      <formula2>2</formula2>
    </dataValidation>
    <dataValidation type="list" allowBlank="1" showInputMessage="1" showErrorMessage="1" sqref="C15 C18 C20 C22 C24 E71 E62 E65 E69 E67">
      <formula1>Wall</formula1>
    </dataValidation>
    <dataValidation type="list" allowBlank="1" showInputMessage="1" showErrorMessage="1" sqref="C38 E85 E132">
      <formula1>PoolandSpa</formula1>
    </dataValidation>
    <dataValidation type="list" allowBlank="1" showInputMessage="1" showErrorMessage="1" sqref="C37 E84 E131">
      <formula1>Lighting</formula1>
    </dataValidation>
    <dataValidation type="list" allowBlank="1" showInputMessage="1" showErrorMessage="1" sqref="C36 E83 E130">
      <formula1>HotWaterCirculation</formula1>
    </dataValidation>
    <dataValidation type="list" allowBlank="1" showInputMessage="1" showErrorMessage="1" sqref="C35 E82 E129">
      <formula1>HotWaterLines</formula1>
    </dataValidation>
    <dataValidation type="list" allowBlank="1" showInputMessage="1" showErrorMessage="1" sqref="C34 E81 E128">
      <formula1>HotWaterSystem</formula1>
    </dataValidation>
    <dataValidation type="list" allowBlank="1" showInputMessage="1" showErrorMessage="1" sqref="C32 E79 E126">
      <formula1>AirHandler</formula1>
    </dataValidation>
    <dataValidation type="list" allowBlank="1" showInputMessage="1" showErrorMessage="1" sqref="C31 E78 E125">
      <formula1>DuctTightness</formula1>
    </dataValidation>
    <dataValidation type="list" allowBlank="1" showInputMessage="1" showErrorMessage="1" sqref="C30 E77 E124">
      <formula1>ReturnDucts</formula1>
    </dataValidation>
    <dataValidation type="list" allowBlank="1" showInputMessage="1" showErrorMessage="1" sqref="C29 E76 E123">
      <formula1>SupplyDucts</formula1>
    </dataValidation>
    <dataValidation type="list" allowBlank="1" showInputMessage="1" showErrorMessage="1" sqref="C28 E75 E122">
      <formula1>Cooling</formula1>
    </dataValidation>
    <dataValidation type="list" allowBlank="1" showInputMessage="1" showErrorMessage="1" sqref="C27 E74 E121">
      <formula1>Heating</formula1>
    </dataValidation>
    <dataValidation type="list" allowBlank="1" showInputMessage="1" showErrorMessage="1" sqref="C26 E73 E120">
      <formula1>Infiltration</formula1>
    </dataValidation>
    <dataValidation type="list" allowBlank="1" showInputMessage="1" showErrorMessage="1" sqref="C17 C19 C21 C23 C25 E68 E64 C113 E66 E119 E113 E110:E111 E115 E117 E70 C115 E72 C117 C119 C111">
      <formula1>Window</formula1>
    </dataValidation>
    <dataValidation type="list" allowBlank="1" showInputMessage="1" showErrorMessage="1" sqref="C16 C110 E63">
      <formula1>Door</formula1>
    </dataValidation>
    <dataValidation type="list" allowBlank="1" showInputMessage="1" showErrorMessage="1" sqref="C14 C61 E61 C108 E108">
      <formula1>Skylight</formula1>
    </dataValidation>
    <dataValidation type="list" allowBlank="1" showInputMessage="1" showErrorMessage="1" sqref="C13 E60">
      <formula1>Ceiling</formula1>
    </dataValidation>
    <dataValidation type="list" allowBlank="1" showInputMessage="1" showErrorMessage="1" sqref="C12 E59">
      <formula1>Roof</formula1>
    </dataValidation>
    <dataValidation type="list" allowBlank="1" showInputMessage="1" showErrorMessage="1" sqref="C11 E58">
      <formula1>Floor</formula1>
    </dataValidation>
  </dataValidations>
  <pageMargins left="0.7" right="0.7" top="0.75" bottom="0.75" header="0.3" footer="0.3"/>
  <pageSetup scale="66" orientation="portrait" r:id="rId1"/>
  <rowBreaks count="2" manualBreakCount="2">
    <brk id="48" max="5" man="1"/>
    <brk id="95" max="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2:T108"/>
  <sheetViews>
    <sheetView zoomScaleNormal="100" zoomScaleSheetLayoutView="29" workbookViewId="0">
      <selection activeCell="B1" sqref="B1"/>
    </sheetView>
  </sheetViews>
  <sheetFormatPr defaultColWidth="9.1796875" defaultRowHeight="14.5" x14ac:dyDescent="0.35"/>
  <cols>
    <col min="1" max="1" width="4.54296875" style="33" customWidth="1"/>
    <col min="2" max="2" width="8.26953125" style="33" customWidth="1"/>
    <col min="3" max="3" width="49.81640625" style="33" customWidth="1"/>
    <col min="4" max="5" width="12.7265625" style="33" customWidth="1"/>
    <col min="6" max="6" width="13.26953125" style="33" customWidth="1"/>
    <col min="7" max="7" width="11.54296875" style="33" customWidth="1"/>
    <col min="8" max="8" width="11.26953125" style="33" customWidth="1"/>
    <col min="9" max="10" width="11.1796875" style="33" customWidth="1"/>
    <col min="11" max="12" width="12" style="33" customWidth="1"/>
    <col min="13" max="13" width="10.54296875" style="33" customWidth="1"/>
    <col min="14" max="14" width="12" style="33" customWidth="1"/>
    <col min="15" max="15" width="10.1796875" style="33" customWidth="1"/>
    <col min="16" max="20" width="12" style="33" customWidth="1"/>
    <col min="21" max="16384" width="9.1796875" style="33"/>
  </cols>
  <sheetData>
    <row r="2" spans="2:20" x14ac:dyDescent="0.35">
      <c r="B2" s="450" t="str">
        <f>D_M01!B2</f>
        <v xml:space="preserve">Prescriptive Test: House M01 (Pr-M01) Characteristics – Location: Miami, Florida. </v>
      </c>
      <c r="C2" s="450"/>
      <c r="D2" s="450"/>
      <c r="E2" s="450"/>
      <c r="F2" s="331"/>
    </row>
    <row r="3" spans="2:20" x14ac:dyDescent="0.35">
      <c r="B3" s="450" t="str">
        <f>D_M01!B3</f>
        <v>Single Family Detached Home with No Attached Garage, Single Story, Three bedroom.</v>
      </c>
      <c r="C3" s="450"/>
      <c r="D3" s="450"/>
      <c r="E3" s="450"/>
      <c r="F3" s="331"/>
    </row>
    <row r="4" spans="2:20" x14ac:dyDescent="0.35">
      <c r="E4" s="34"/>
    </row>
    <row r="5" spans="2:20" ht="18.75" customHeight="1" x14ac:dyDescent="0.35">
      <c r="B5" s="32" t="s">
        <v>276</v>
      </c>
      <c r="C5" s="32"/>
      <c r="D5" s="32"/>
      <c r="E5" s="32"/>
      <c r="F5" s="32"/>
      <c r="G5" s="32"/>
      <c r="H5" s="32"/>
      <c r="I5" s="32"/>
      <c r="J5" s="32"/>
      <c r="K5" s="513" t="str">
        <f>Selections!K18</f>
        <v>Fenestration Area</v>
      </c>
      <c r="L5" s="514"/>
      <c r="M5" s="515" t="str">
        <f>Selections!M18</f>
        <v>Rvalue Method</v>
      </c>
      <c r="N5" s="514"/>
      <c r="O5" s="515" t="str">
        <f>Selections!O18</f>
        <v>Uvalue Method</v>
      </c>
      <c r="P5" s="514"/>
      <c r="Q5" s="515" t="str">
        <f>Selections!Q18</f>
        <v>Rvalue Method</v>
      </c>
      <c r="R5" s="514"/>
      <c r="S5" s="515" t="str">
        <f>Selections!S18</f>
        <v>Uvalue Method</v>
      </c>
      <c r="T5" s="514"/>
    </row>
    <row r="6" spans="2:20" ht="48" customHeight="1" x14ac:dyDescent="0.35">
      <c r="B6" s="226"/>
      <c r="C6" s="227"/>
      <c r="D6" s="516" t="str">
        <f>Selections!D19</f>
        <v>Envelope Geometry (Area)</v>
      </c>
      <c r="E6" s="517"/>
      <c r="F6" s="518"/>
      <c r="G6" s="519" t="str">
        <f>Selections!G19</f>
        <v>Proposed Home</v>
      </c>
      <c r="H6" s="520"/>
      <c r="I6" s="519" t="str">
        <f>Selections!I19</f>
        <v>Reference Home</v>
      </c>
      <c r="J6" s="520"/>
      <c r="K6" s="511" t="str">
        <f>Selections!K19</f>
        <v>Compliance Method Fenestration Area</v>
      </c>
      <c r="L6" s="512"/>
      <c r="M6" s="511" t="str">
        <f>Selections!M19</f>
        <v>Window Area Weighted Avg Proposed U-Factor</v>
      </c>
      <c r="N6" s="512"/>
      <c r="O6" s="511" t="str">
        <f>Selections!O19</f>
        <v>Window Area Weighted Avg Proposed U-Factor</v>
      </c>
      <c r="P6" s="512"/>
      <c r="Q6" s="511" t="str">
        <f>Selections!Q19</f>
        <v>Window Area Weighted Avg Proposed SHGC</v>
      </c>
      <c r="R6" s="512"/>
      <c r="S6" s="511" t="str">
        <f>Selections!S19</f>
        <v>Window Area Weighted Avg Proposed SHGC</v>
      </c>
      <c r="T6" s="512"/>
    </row>
    <row r="7" spans="2:20" ht="39.75" customHeight="1" thickBot="1" x14ac:dyDescent="0.4">
      <c r="B7" s="231"/>
      <c r="C7" s="232" t="str">
        <f>Selections!C20</f>
        <v>Envelope Name</v>
      </c>
      <c r="D7" s="233" t="str">
        <f>Selections!D20</f>
        <v>Envelope Type</v>
      </c>
      <c r="E7" s="233" t="str">
        <f>Selections!E20</f>
        <v>Gross Area</v>
      </c>
      <c r="F7" s="233" t="str">
        <f>Selections!F20</f>
        <v>Net Area</v>
      </c>
      <c r="G7" s="234" t="str">
        <f>Selections!G20</f>
        <v>U-Factor Proposed</v>
      </c>
      <c r="H7" s="235" t="str">
        <f>Selections!H20</f>
        <v>UA-Value Proposed</v>
      </c>
      <c r="I7" s="233" t="str">
        <f>Selections!I20</f>
        <v>U-Factor Reference</v>
      </c>
      <c r="J7" s="235" t="str">
        <f>Selections!J20</f>
        <v>UA-Value Reference</v>
      </c>
      <c r="K7" s="236" t="str">
        <f>Selections!K20</f>
        <v>R-Value Method</v>
      </c>
      <c r="L7" s="236" t="str">
        <f>Selections!L20</f>
        <v>U-Factor Method</v>
      </c>
      <c r="M7" s="236" t="str">
        <f>Selections!M20</f>
        <v>U-Factor</v>
      </c>
      <c r="N7" s="236" t="str">
        <f>Selections!N20</f>
        <v>UA-Value</v>
      </c>
      <c r="O7" s="236" t="str">
        <f>Selections!O20</f>
        <v>U-Factor</v>
      </c>
      <c r="P7" s="236" t="str">
        <f>Selections!P20</f>
        <v>UA-Value</v>
      </c>
      <c r="Q7" s="236" t="str">
        <f>Selections!Q20</f>
        <v>SHGC</v>
      </c>
      <c r="R7" s="236" t="str">
        <f>Selections!R20</f>
        <v>SHGC x Area</v>
      </c>
      <c r="S7" s="236" t="str">
        <f>Selections!S20</f>
        <v>SHGC</v>
      </c>
      <c r="T7" s="236" t="str">
        <f>Selections!T20</f>
        <v>SHGC x Area</v>
      </c>
    </row>
    <row r="8" spans="2:20" ht="15" customHeight="1" thickTop="1" x14ac:dyDescent="0.35">
      <c r="B8" s="37">
        <v>1</v>
      </c>
      <c r="C8" s="223" t="str">
        <f>D_M01!B8</f>
        <v>Slab-on-grade Floor</v>
      </c>
      <c r="D8" s="38" t="s">
        <v>30</v>
      </c>
      <c r="E8" s="39"/>
      <c r="F8" s="40"/>
      <c r="G8" s="41"/>
      <c r="H8" s="40"/>
      <c r="I8" s="42"/>
      <c r="J8" s="42"/>
      <c r="K8" s="38"/>
      <c r="L8" s="40"/>
      <c r="M8" s="39"/>
      <c r="N8" s="40"/>
      <c r="O8" s="43"/>
      <c r="P8" s="40"/>
      <c r="Q8" s="43"/>
      <c r="R8" s="40"/>
      <c r="S8" s="43"/>
      <c r="T8" s="40"/>
    </row>
    <row r="9" spans="2:20" ht="15" customHeight="1" x14ac:dyDescent="0.35">
      <c r="B9" s="44">
        <v>2</v>
      </c>
      <c r="C9" s="224" t="str">
        <f>D_M01!B9</f>
        <v>Roof – gable type- 5 in 12 slope No overhangs</v>
      </c>
      <c r="D9" s="46" t="s">
        <v>33</v>
      </c>
      <c r="E9" s="47"/>
      <c r="F9" s="48"/>
      <c r="G9" s="46"/>
      <c r="H9" s="48"/>
      <c r="I9" s="47"/>
      <c r="J9" s="47"/>
      <c r="K9" s="46"/>
      <c r="L9" s="48"/>
      <c r="M9" s="47"/>
      <c r="N9" s="48"/>
      <c r="O9" s="44"/>
      <c r="P9" s="48"/>
      <c r="Q9" s="44"/>
      <c r="R9" s="48"/>
      <c r="S9" s="44"/>
      <c r="T9" s="48"/>
    </row>
    <row r="10" spans="2:20" ht="15" customHeight="1" x14ac:dyDescent="0.35">
      <c r="B10" s="44">
        <v>3</v>
      </c>
      <c r="C10" s="224" t="str">
        <f>D_M01!B10</f>
        <v>Ceiling1 –flat under attic</v>
      </c>
      <c r="D10" s="46" t="s">
        <v>34</v>
      </c>
      <c r="E10" s="133">
        <f>D_M01!G10</f>
        <v>2000</v>
      </c>
      <c r="F10" s="205">
        <f>E10-E11</f>
        <v>1990</v>
      </c>
      <c r="G10" s="206">
        <f>D57</f>
        <v>3.4532095288602439E-2</v>
      </c>
      <c r="H10" s="202">
        <f t="shared" ref="H10:H22" si="0">$G10*$F10</f>
        <v>68.718869624318856</v>
      </c>
      <c r="I10" s="136">
        <f>D35</f>
        <v>3.5000000000000003E-2</v>
      </c>
      <c r="J10" s="124">
        <f t="shared" ref="J10:J22" si="1">$I10*$F10</f>
        <v>69.650000000000006</v>
      </c>
      <c r="K10" s="50"/>
      <c r="L10" s="49"/>
      <c r="M10" s="47"/>
      <c r="N10" s="48"/>
      <c r="O10" s="44"/>
      <c r="P10" s="48"/>
      <c r="Q10" s="44"/>
      <c r="R10" s="48"/>
      <c r="S10" s="44"/>
      <c r="T10" s="48"/>
    </row>
    <row r="11" spans="2:20" ht="15" customHeight="1" x14ac:dyDescent="0.35">
      <c r="B11" s="44">
        <v>4</v>
      </c>
      <c r="C11" s="224" t="str">
        <f>D_M01!B11</f>
        <v xml:space="preserve">        Skylight</v>
      </c>
      <c r="D11" s="46" t="s">
        <v>35</v>
      </c>
      <c r="E11" s="133">
        <f>D_M01!G11</f>
        <v>10</v>
      </c>
      <c r="F11" s="205">
        <f>E11</f>
        <v>10</v>
      </c>
      <c r="G11" s="206">
        <f>D_M01!E11</f>
        <v>0.75</v>
      </c>
      <c r="H11" s="202">
        <f t="shared" si="0"/>
        <v>7.5</v>
      </c>
      <c r="I11" s="136">
        <f>D38</f>
        <v>0.75</v>
      </c>
      <c r="J11" s="124">
        <f t="shared" si="1"/>
        <v>7.5</v>
      </c>
      <c r="K11" s="201">
        <f>IF(E11&lt;=Selections!$C$33,0,E11)</f>
        <v>0</v>
      </c>
      <c r="L11" s="202">
        <f>E11</f>
        <v>10</v>
      </c>
      <c r="M11" s="136">
        <f>$G11</f>
        <v>0.75</v>
      </c>
      <c r="N11" s="202">
        <f>K11*M11</f>
        <v>0</v>
      </c>
      <c r="O11" s="134">
        <f>$G11</f>
        <v>0.75</v>
      </c>
      <c r="P11" s="202">
        <f>O11*L11</f>
        <v>7.5</v>
      </c>
      <c r="Q11" s="134">
        <f>D_M01!F11</f>
        <v>0.25</v>
      </c>
      <c r="R11" s="202">
        <f>K11*Q11</f>
        <v>0</v>
      </c>
      <c r="S11" s="134">
        <f>$Q11</f>
        <v>0.25</v>
      </c>
      <c r="T11" s="202">
        <f>S11*L11</f>
        <v>2.5</v>
      </c>
    </row>
    <row r="12" spans="2:20" ht="15" customHeight="1" x14ac:dyDescent="0.35">
      <c r="B12" s="44">
        <v>5</v>
      </c>
      <c r="C12" s="224" t="str">
        <f>D_M01!B12</f>
        <v>Wall 1 –faces North, CBS2</v>
      </c>
      <c r="D12" s="46" t="s">
        <v>36</v>
      </c>
      <c r="E12" s="133">
        <f>D_M01!G12</f>
        <v>500</v>
      </c>
      <c r="F12" s="205">
        <f>E12-E13-E14</f>
        <v>401</v>
      </c>
      <c r="G12" s="206">
        <f>D73</f>
        <v>0.12992802393307415</v>
      </c>
      <c r="H12" s="202">
        <f t="shared" si="0"/>
        <v>52.101137597162733</v>
      </c>
      <c r="I12" s="136">
        <f>D36</f>
        <v>0.17</v>
      </c>
      <c r="J12" s="124">
        <f t="shared" si="1"/>
        <v>68.17</v>
      </c>
      <c r="K12" s="201"/>
      <c r="L12" s="202"/>
      <c r="M12" s="133"/>
      <c r="N12" s="203"/>
      <c r="O12" s="100"/>
      <c r="P12" s="203"/>
      <c r="Q12" s="100"/>
      <c r="R12" s="203"/>
      <c r="S12" s="134"/>
      <c r="T12" s="203"/>
    </row>
    <row r="13" spans="2:20" ht="15" customHeight="1" x14ac:dyDescent="0.35">
      <c r="B13" s="44">
        <v>6</v>
      </c>
      <c r="C13" s="224" t="str">
        <f>D_M01!B13</f>
        <v xml:space="preserve">        Door 1 - </v>
      </c>
      <c r="D13" s="46" t="s">
        <v>38</v>
      </c>
      <c r="E13" s="133">
        <f>D_M01!G13</f>
        <v>24</v>
      </c>
      <c r="F13" s="205">
        <f>E13</f>
        <v>24</v>
      </c>
      <c r="G13" s="206">
        <f>D_M01!E13</f>
        <v>0.65</v>
      </c>
      <c r="H13" s="202">
        <f t="shared" si="0"/>
        <v>15.600000000000001</v>
      </c>
      <c r="I13" s="136">
        <f>D39</f>
        <v>0.5</v>
      </c>
      <c r="J13" s="124">
        <f t="shared" si="1"/>
        <v>12</v>
      </c>
      <c r="K13" s="201">
        <f>IF(E13&lt;=Selections!$C$32,0,E13)</f>
        <v>0</v>
      </c>
      <c r="L13" s="202">
        <f>E13</f>
        <v>24</v>
      </c>
      <c r="M13" s="133">
        <v>0</v>
      </c>
      <c r="N13" s="202">
        <f>K13*M13</f>
        <v>0</v>
      </c>
      <c r="O13" s="134">
        <f>$G13</f>
        <v>0.65</v>
      </c>
      <c r="P13" s="202">
        <f>O13*L13</f>
        <v>15.600000000000001</v>
      </c>
      <c r="Q13" s="100">
        <f>D_M01!F13</f>
        <v>0</v>
      </c>
      <c r="R13" s="202">
        <f>K13*Q13</f>
        <v>0</v>
      </c>
      <c r="S13" s="138">
        <f t="shared" ref="S13:S22" si="2">$Q13</f>
        <v>0</v>
      </c>
      <c r="T13" s="202">
        <f>S13*L13</f>
        <v>0</v>
      </c>
    </row>
    <row r="14" spans="2:20" ht="15" customHeight="1" x14ac:dyDescent="0.35">
      <c r="B14" s="44">
        <v>7</v>
      </c>
      <c r="C14" s="224" t="str">
        <f>D_M01!B14</f>
        <v xml:space="preserve">        Window 1 – Vinyl Frame Low-e Double</v>
      </c>
      <c r="D14" s="46" t="s">
        <v>37</v>
      </c>
      <c r="E14" s="133">
        <f>D_M01!G14</f>
        <v>75</v>
      </c>
      <c r="F14" s="205">
        <f>E14</f>
        <v>75</v>
      </c>
      <c r="G14" s="206">
        <f>D_M01!E14</f>
        <v>0.65</v>
      </c>
      <c r="H14" s="202">
        <f t="shared" si="0"/>
        <v>48.75</v>
      </c>
      <c r="I14" s="136">
        <f>D40</f>
        <v>0.5</v>
      </c>
      <c r="J14" s="124">
        <f t="shared" si="1"/>
        <v>37.5</v>
      </c>
      <c r="K14" s="201">
        <f>IF(E14&lt;=Selections!$C$33,0,E14)</f>
        <v>75</v>
      </c>
      <c r="L14" s="202">
        <f>E14</f>
        <v>75</v>
      </c>
      <c r="M14" s="136">
        <f>$G14</f>
        <v>0.65</v>
      </c>
      <c r="N14" s="202">
        <f>K14*M14</f>
        <v>48.75</v>
      </c>
      <c r="O14" s="134">
        <f>$G14</f>
        <v>0.65</v>
      </c>
      <c r="P14" s="202">
        <f>O14*L14</f>
        <v>48.75</v>
      </c>
      <c r="Q14" s="134">
        <f>D_M01!F14</f>
        <v>0.25</v>
      </c>
      <c r="R14" s="202">
        <f>K14*Q14</f>
        <v>18.75</v>
      </c>
      <c r="S14" s="134">
        <f t="shared" si="2"/>
        <v>0.25</v>
      </c>
      <c r="T14" s="202">
        <f>S14*L14</f>
        <v>18.75</v>
      </c>
    </row>
    <row r="15" spans="2:20" ht="15" customHeight="1" x14ac:dyDescent="0.35">
      <c r="B15" s="44">
        <v>8</v>
      </c>
      <c r="C15" s="224" t="str">
        <f>D_M01!B15</f>
        <v>Wall 2 –faces East, CBS</v>
      </c>
      <c r="D15" s="51" t="s">
        <v>36</v>
      </c>
      <c r="E15" s="133">
        <f>D_M01!G15</f>
        <v>400</v>
      </c>
      <c r="F15" s="205">
        <f>E15-E16</f>
        <v>325</v>
      </c>
      <c r="G15" s="206">
        <f>D73</f>
        <v>0.12992802393307415</v>
      </c>
      <c r="H15" s="202">
        <f t="shared" si="0"/>
        <v>42.226607778249097</v>
      </c>
      <c r="I15" s="136">
        <f>D36</f>
        <v>0.17</v>
      </c>
      <c r="J15" s="124">
        <f t="shared" si="1"/>
        <v>55.250000000000007</v>
      </c>
      <c r="K15" s="201"/>
      <c r="L15" s="202"/>
      <c r="M15" s="133"/>
      <c r="N15" s="203"/>
      <c r="O15" s="100"/>
      <c r="P15" s="203"/>
      <c r="Q15" s="100"/>
      <c r="R15" s="203"/>
      <c r="S15" s="134"/>
      <c r="T15" s="203"/>
    </row>
    <row r="16" spans="2:20" ht="15" customHeight="1" x14ac:dyDescent="0.35">
      <c r="B16" s="44">
        <v>9</v>
      </c>
      <c r="C16" s="224" t="str">
        <f>D_M01!B16</f>
        <v xml:space="preserve">        Window 2 – Vinyl Frame Low-e Double</v>
      </c>
      <c r="D16" s="46" t="s">
        <v>37</v>
      </c>
      <c r="E16" s="133">
        <f>D_M01!G16</f>
        <v>75</v>
      </c>
      <c r="F16" s="205">
        <f>E16</f>
        <v>75</v>
      </c>
      <c r="G16" s="206">
        <f>D_M01!E16</f>
        <v>0.65</v>
      </c>
      <c r="H16" s="202">
        <f t="shared" si="0"/>
        <v>48.75</v>
      </c>
      <c r="I16" s="136">
        <f>D40</f>
        <v>0.5</v>
      </c>
      <c r="J16" s="124">
        <f t="shared" si="1"/>
        <v>37.5</v>
      </c>
      <c r="K16" s="201">
        <f>IF(E16&lt;=Selections!$C$33,0,E16)</f>
        <v>75</v>
      </c>
      <c r="L16" s="202">
        <f>E16</f>
        <v>75</v>
      </c>
      <c r="M16" s="136">
        <f>$G16</f>
        <v>0.65</v>
      </c>
      <c r="N16" s="202">
        <f>K16*M16</f>
        <v>48.75</v>
      </c>
      <c r="O16" s="134">
        <f>$G16</f>
        <v>0.65</v>
      </c>
      <c r="P16" s="202">
        <f>O16*L16</f>
        <v>48.75</v>
      </c>
      <c r="Q16" s="134">
        <f>D_M01!F16</f>
        <v>0.25</v>
      </c>
      <c r="R16" s="202">
        <f>K16*Q16</f>
        <v>18.75</v>
      </c>
      <c r="S16" s="134">
        <f t="shared" si="2"/>
        <v>0.25</v>
      </c>
      <c r="T16" s="202">
        <f>S16*L16</f>
        <v>18.75</v>
      </c>
    </row>
    <row r="17" spans="2:20" ht="15" customHeight="1" x14ac:dyDescent="0.35">
      <c r="B17" s="44">
        <v>10</v>
      </c>
      <c r="C17" s="224" t="str">
        <f>D_M01!B17</f>
        <v>Wall 3 –faces South, CBS</v>
      </c>
      <c r="D17" s="46" t="s">
        <v>36</v>
      </c>
      <c r="E17" s="133">
        <f>D_M01!G17</f>
        <v>400</v>
      </c>
      <c r="F17" s="205">
        <f>E17-E18</f>
        <v>385</v>
      </c>
      <c r="G17" s="206">
        <f>D73</f>
        <v>0.12992802393307415</v>
      </c>
      <c r="H17" s="202">
        <f t="shared" si="0"/>
        <v>50.022289214233545</v>
      </c>
      <c r="I17" s="136">
        <f>D36</f>
        <v>0.17</v>
      </c>
      <c r="J17" s="124">
        <f t="shared" si="1"/>
        <v>65.45</v>
      </c>
      <c r="K17" s="201"/>
      <c r="L17" s="202"/>
      <c r="M17" s="133"/>
      <c r="N17" s="203"/>
      <c r="O17" s="100"/>
      <c r="P17" s="203"/>
      <c r="Q17" s="100"/>
      <c r="R17" s="203"/>
      <c r="S17" s="134"/>
      <c r="T17" s="203"/>
    </row>
    <row r="18" spans="2:20" ht="15" customHeight="1" x14ac:dyDescent="0.35">
      <c r="B18" s="44">
        <v>11</v>
      </c>
      <c r="C18" s="224" t="str">
        <f>D_M01!B18</f>
        <v xml:space="preserve">        Window 3 – Vinyl Frame Low-e Double</v>
      </c>
      <c r="D18" s="46" t="s">
        <v>37</v>
      </c>
      <c r="E18" s="133">
        <f>D_M01!G18</f>
        <v>15</v>
      </c>
      <c r="F18" s="205">
        <f>E18</f>
        <v>15</v>
      </c>
      <c r="G18" s="206">
        <f>D_M01!E18</f>
        <v>0.65</v>
      </c>
      <c r="H18" s="202">
        <f t="shared" si="0"/>
        <v>9.75</v>
      </c>
      <c r="I18" s="136">
        <f>D40</f>
        <v>0.5</v>
      </c>
      <c r="J18" s="124">
        <f t="shared" si="1"/>
        <v>7.5</v>
      </c>
      <c r="K18" s="201">
        <f>E18</f>
        <v>15</v>
      </c>
      <c r="L18" s="202">
        <f>E18</f>
        <v>15</v>
      </c>
      <c r="M18" s="136">
        <f>$G18</f>
        <v>0.65</v>
      </c>
      <c r="N18" s="202">
        <f>K18*M18</f>
        <v>9.75</v>
      </c>
      <c r="O18" s="134">
        <f>$G18</f>
        <v>0.65</v>
      </c>
      <c r="P18" s="202">
        <f>O18*L18</f>
        <v>9.75</v>
      </c>
      <c r="Q18" s="134">
        <f>D_M01!F18</f>
        <v>0.25</v>
      </c>
      <c r="R18" s="202">
        <f>K18*Q18</f>
        <v>3.75</v>
      </c>
      <c r="S18" s="134">
        <f t="shared" si="2"/>
        <v>0.25</v>
      </c>
      <c r="T18" s="202">
        <f>S18*L18</f>
        <v>3.75</v>
      </c>
    </row>
    <row r="19" spans="2:20" ht="15" customHeight="1" x14ac:dyDescent="0.35">
      <c r="B19" s="44">
        <v>12</v>
      </c>
      <c r="C19" s="224" t="str">
        <f>D_M01!B19</f>
        <v>Wall 4 –faces South, Wood3 2x4 Stud</v>
      </c>
      <c r="D19" s="46" t="s">
        <v>36</v>
      </c>
      <c r="E19" s="133">
        <f>D_M01!G19</f>
        <v>100</v>
      </c>
      <c r="F19" s="205">
        <f>E19-E20</f>
        <v>40</v>
      </c>
      <c r="G19" s="206">
        <f>D88</f>
        <v>8.6865673938545357E-2</v>
      </c>
      <c r="H19" s="202">
        <f t="shared" si="0"/>
        <v>3.4746269575418145</v>
      </c>
      <c r="I19" s="136">
        <f>D37</f>
        <v>8.2000000000000003E-2</v>
      </c>
      <c r="J19" s="124">
        <f t="shared" si="1"/>
        <v>3.2800000000000002</v>
      </c>
      <c r="K19" s="201"/>
      <c r="L19" s="202"/>
      <c r="M19" s="133"/>
      <c r="N19" s="203"/>
      <c r="O19" s="100"/>
      <c r="P19" s="203"/>
      <c r="Q19" s="100"/>
      <c r="R19" s="203"/>
      <c r="S19" s="134"/>
      <c r="T19" s="203"/>
    </row>
    <row r="20" spans="2:20" ht="15" customHeight="1" x14ac:dyDescent="0.35">
      <c r="B20" s="44">
        <v>13</v>
      </c>
      <c r="C20" s="224" t="str">
        <f>D_M01!B20</f>
        <v xml:space="preserve">        Window 4 – Vinyl Frame  Low-e Double</v>
      </c>
      <c r="D20" s="46" t="s">
        <v>37</v>
      </c>
      <c r="E20" s="133">
        <f>D_M01!G20</f>
        <v>60</v>
      </c>
      <c r="F20" s="205">
        <f>E20</f>
        <v>60</v>
      </c>
      <c r="G20" s="206">
        <f>D_M01!E20</f>
        <v>0.65</v>
      </c>
      <c r="H20" s="202">
        <f t="shared" si="0"/>
        <v>39</v>
      </c>
      <c r="I20" s="136">
        <f>D40</f>
        <v>0.5</v>
      </c>
      <c r="J20" s="124">
        <f t="shared" si="1"/>
        <v>30</v>
      </c>
      <c r="K20" s="201">
        <f>IF(E20&lt;=Selections!$C$33,0,E20)</f>
        <v>60</v>
      </c>
      <c r="L20" s="202">
        <f>E20</f>
        <v>60</v>
      </c>
      <c r="M20" s="136">
        <f>$G20</f>
        <v>0.65</v>
      </c>
      <c r="N20" s="202">
        <f>K20*M20</f>
        <v>39</v>
      </c>
      <c r="O20" s="134">
        <f>$G20</f>
        <v>0.65</v>
      </c>
      <c r="P20" s="202">
        <f>O20*L20</f>
        <v>39</v>
      </c>
      <c r="Q20" s="134">
        <f>D_M01!F20</f>
        <v>0.25</v>
      </c>
      <c r="R20" s="202">
        <f>K20*Q20</f>
        <v>15</v>
      </c>
      <c r="S20" s="134">
        <f t="shared" si="2"/>
        <v>0.25</v>
      </c>
      <c r="T20" s="202">
        <f>S20*L20</f>
        <v>15</v>
      </c>
    </row>
    <row r="21" spans="2:20" ht="15" customHeight="1" x14ac:dyDescent="0.35">
      <c r="B21" s="44">
        <v>14</v>
      </c>
      <c r="C21" s="224" t="str">
        <f>D_M01!B21</f>
        <v>Wall 5 –faces West, CBS</v>
      </c>
      <c r="D21" s="46" t="s">
        <v>36</v>
      </c>
      <c r="E21" s="133">
        <f>D_M01!G21</f>
        <v>400</v>
      </c>
      <c r="F21" s="205">
        <f>E21-E22</f>
        <v>325</v>
      </c>
      <c r="G21" s="206">
        <f>D73</f>
        <v>0.12992802393307415</v>
      </c>
      <c r="H21" s="202">
        <f t="shared" si="0"/>
        <v>42.226607778249097</v>
      </c>
      <c r="I21" s="136">
        <f>D36</f>
        <v>0.17</v>
      </c>
      <c r="J21" s="124">
        <f t="shared" si="1"/>
        <v>55.250000000000007</v>
      </c>
      <c r="K21" s="201"/>
      <c r="L21" s="202"/>
      <c r="M21" s="133"/>
      <c r="N21" s="203"/>
      <c r="O21" s="100"/>
      <c r="P21" s="203"/>
      <c r="Q21" s="100"/>
      <c r="R21" s="203"/>
      <c r="S21" s="134"/>
      <c r="T21" s="203"/>
    </row>
    <row r="22" spans="2:20" ht="15" customHeight="1" x14ac:dyDescent="0.35">
      <c r="B22" s="52">
        <v>15</v>
      </c>
      <c r="C22" s="225" t="str">
        <f>D_M01!B22</f>
        <v xml:space="preserve">        Window 5 – Vinyl Frame Low-e Double</v>
      </c>
      <c r="D22" s="53" t="s">
        <v>37</v>
      </c>
      <c r="E22" s="207">
        <f>D_M01!G22</f>
        <v>75</v>
      </c>
      <c r="F22" s="208">
        <f>E22</f>
        <v>75</v>
      </c>
      <c r="G22" s="209">
        <f>D_M01!E22</f>
        <v>0.65</v>
      </c>
      <c r="H22" s="204">
        <f t="shared" si="0"/>
        <v>48.75</v>
      </c>
      <c r="I22" s="125">
        <f>D40</f>
        <v>0.5</v>
      </c>
      <c r="J22" s="210">
        <f t="shared" si="1"/>
        <v>37.5</v>
      </c>
      <c r="K22" s="201">
        <f>IF(E22&lt;=Selections!$C$33,0,E22)</f>
        <v>75</v>
      </c>
      <c r="L22" s="204">
        <f>E22</f>
        <v>75</v>
      </c>
      <c r="M22" s="136">
        <f>$G22</f>
        <v>0.65</v>
      </c>
      <c r="N22" s="202">
        <f>K22*M22</f>
        <v>48.75</v>
      </c>
      <c r="O22" s="134">
        <f>$G22</f>
        <v>0.65</v>
      </c>
      <c r="P22" s="202">
        <f>O22*L22</f>
        <v>48.75</v>
      </c>
      <c r="Q22" s="134">
        <f>D_M01!F22</f>
        <v>0.25</v>
      </c>
      <c r="R22" s="202">
        <f>K22*Q22</f>
        <v>18.75</v>
      </c>
      <c r="S22" s="134">
        <f t="shared" si="2"/>
        <v>0.25</v>
      </c>
      <c r="T22" s="202">
        <f>S22*L22</f>
        <v>18.75</v>
      </c>
    </row>
    <row r="23" spans="2:20" ht="3.75" customHeight="1" x14ac:dyDescent="0.35">
      <c r="B23" s="35"/>
      <c r="C23" s="54"/>
      <c r="D23" s="55"/>
      <c r="E23" s="36"/>
      <c r="F23" s="56"/>
      <c r="G23" s="55"/>
      <c r="H23" s="56"/>
      <c r="I23" s="36"/>
      <c r="J23" s="36"/>
      <c r="K23" s="55"/>
      <c r="L23" s="56"/>
      <c r="M23" s="57"/>
      <c r="N23" s="58"/>
      <c r="O23" s="54"/>
      <c r="P23" s="58"/>
      <c r="Q23" s="54"/>
      <c r="R23" s="58"/>
      <c r="S23" s="54"/>
      <c r="T23" s="58"/>
    </row>
    <row r="24" spans="2:20" ht="15.5" x14ac:dyDescent="0.35">
      <c r="B24" s="59"/>
      <c r="C24" s="60" t="s">
        <v>134</v>
      </c>
      <c r="D24" s="61"/>
      <c r="E24" s="57"/>
      <c r="F24" s="58"/>
      <c r="G24" s="61"/>
      <c r="H24" s="453">
        <f>SUM(H10:H22)</f>
        <v>476.87013894975513</v>
      </c>
      <c r="I24" s="460"/>
      <c r="J24" s="455">
        <f>SUM(J10:J22)</f>
        <v>486.54999999999995</v>
      </c>
      <c r="K24" s="456">
        <f>SUM(K10:K22)</f>
        <v>300</v>
      </c>
      <c r="L24" s="453">
        <f>SUM(L10:L22)</f>
        <v>334</v>
      </c>
      <c r="M24" s="457">
        <f>N24/K24</f>
        <v>0.65</v>
      </c>
      <c r="N24" s="453">
        <f>SUM(N10:N22)</f>
        <v>195</v>
      </c>
      <c r="O24" s="458">
        <f>P24/L24</f>
        <v>0.65299401197604789</v>
      </c>
      <c r="P24" s="453">
        <f>SUM(P10:P22)</f>
        <v>218.1</v>
      </c>
      <c r="Q24" s="458">
        <f>R24/K24</f>
        <v>0.25</v>
      </c>
      <c r="R24" s="453">
        <f>SUM(R10:R22)</f>
        <v>75</v>
      </c>
      <c r="S24" s="458">
        <f>T24/(L24-L13)</f>
        <v>0.25</v>
      </c>
      <c r="T24" s="453">
        <f>SUM(T10:T22)</f>
        <v>77.5</v>
      </c>
    </row>
    <row r="25" spans="2:20" ht="9.75" customHeight="1" x14ac:dyDescent="0.35">
      <c r="B25" s="62"/>
      <c r="C25" s="63"/>
      <c r="D25" s="64"/>
      <c r="E25" s="64"/>
      <c r="F25" s="64"/>
      <c r="G25" s="64"/>
      <c r="H25" s="65"/>
      <c r="I25" s="66"/>
      <c r="J25" s="65"/>
      <c r="K25" s="65"/>
      <c r="L25" s="65"/>
      <c r="M25" s="67"/>
      <c r="N25" s="65"/>
      <c r="O25" s="67"/>
      <c r="P25" s="65"/>
      <c r="Q25" s="67"/>
      <c r="R25" s="65"/>
      <c r="S25" s="67"/>
      <c r="T25" s="65"/>
    </row>
    <row r="26" spans="2:20" ht="45" customHeight="1" x14ac:dyDescent="0.35">
      <c r="B26" s="62"/>
      <c r="C26" s="212" t="str">
        <f>Selections!B25</f>
        <v>UA allowed deviation range in %</v>
      </c>
      <c r="D26" s="221">
        <f>Selections!C25</f>
        <v>0.02</v>
      </c>
      <c r="E26" s="69"/>
      <c r="G26" s="34" t="s">
        <v>136</v>
      </c>
      <c r="H26" s="144" t="s">
        <v>231</v>
      </c>
      <c r="J26" s="144" t="s">
        <v>230</v>
      </c>
      <c r="M26" s="144" t="s">
        <v>229</v>
      </c>
      <c r="N26" s="144" t="s">
        <v>231</v>
      </c>
      <c r="O26" s="144" t="s">
        <v>229</v>
      </c>
      <c r="P26" s="144" t="s">
        <v>231</v>
      </c>
      <c r="Q26" s="144" t="s">
        <v>232</v>
      </c>
      <c r="R26" s="144" t="s">
        <v>233</v>
      </c>
      <c r="S26" s="144" t="s">
        <v>232</v>
      </c>
      <c r="T26" s="144" t="s">
        <v>233</v>
      </c>
    </row>
    <row r="27" spans="2:20" x14ac:dyDescent="0.35">
      <c r="C27" s="212" t="str">
        <f>Selections!B26</f>
        <v>U-Factor allowed deviation range absolute</v>
      </c>
      <c r="D27" s="222">
        <f>Selections!C26</f>
        <v>5.0000000000000001E-3</v>
      </c>
      <c r="G27" s="34" t="s">
        <v>138</v>
      </c>
      <c r="H27" s="211">
        <f>H24-(H24*$D$26)</f>
        <v>467.33273617076003</v>
      </c>
      <c r="J27" s="211">
        <f>J24-(J24*$D$26)</f>
        <v>476.81899999999996</v>
      </c>
      <c r="K27" s="212"/>
      <c r="L27" s="212"/>
      <c r="M27" s="213">
        <f>M$24-$D$27</f>
        <v>0.64500000000000002</v>
      </c>
      <c r="N27" s="214">
        <f>N$24-$D$26*N$24</f>
        <v>191.1</v>
      </c>
      <c r="O27" s="215">
        <f>O$24-$D$27</f>
        <v>0.64799401197604789</v>
      </c>
      <c r="P27" s="214">
        <f>P$24-$D$26*P$24</f>
        <v>213.738</v>
      </c>
      <c r="Q27" s="215">
        <f>Q$24-$D$28</f>
        <v>0.245</v>
      </c>
      <c r="R27" s="214">
        <f>R$24-$D$26*R$24</f>
        <v>73.5</v>
      </c>
      <c r="S27" s="215">
        <f>S$24-$D$28</f>
        <v>0.245</v>
      </c>
      <c r="T27" s="214">
        <f>T$24-$D$26*T$24</f>
        <v>75.95</v>
      </c>
    </row>
    <row r="28" spans="2:20" x14ac:dyDescent="0.35">
      <c r="C28" s="212" t="str">
        <f>Selections!B27</f>
        <v>SHGC allowed deviation range absolute</v>
      </c>
      <c r="D28" s="222">
        <f>Selections!C27</f>
        <v>5.0000000000000001E-3</v>
      </c>
      <c r="G28" s="34" t="s">
        <v>140</v>
      </c>
      <c r="H28" s="211">
        <f>H24*(1+$D$26)</f>
        <v>486.40754172875023</v>
      </c>
      <c r="J28" s="211">
        <f>J24*(1+$D$26)</f>
        <v>496.28099999999995</v>
      </c>
      <c r="K28" s="212"/>
      <c r="L28" s="212"/>
      <c r="M28" s="213">
        <f>M$24+$D$27</f>
        <v>0.65500000000000003</v>
      </c>
      <c r="N28" s="214">
        <f>N$24+$D$26*N$24</f>
        <v>198.9</v>
      </c>
      <c r="O28" s="215">
        <f>O$24+$D$28</f>
        <v>0.6579940119760479</v>
      </c>
      <c r="P28" s="214">
        <f>P$24+$D$26*P$24</f>
        <v>222.46199999999999</v>
      </c>
      <c r="Q28" s="215">
        <f>Q$24+$D$28</f>
        <v>0.255</v>
      </c>
      <c r="R28" s="214">
        <f>R$24+$D$26*R$24</f>
        <v>76.5</v>
      </c>
      <c r="S28" s="215">
        <f>S$24+$D$28</f>
        <v>0.255</v>
      </c>
      <c r="T28" s="214">
        <f>T$24+$D$26*T$24</f>
        <v>79.05</v>
      </c>
    </row>
    <row r="29" spans="2:20" x14ac:dyDescent="0.35">
      <c r="D29" s="34"/>
      <c r="G29" s="34"/>
      <c r="I29" s="70"/>
      <c r="J29" s="70"/>
      <c r="M29" s="71"/>
      <c r="N29" s="72"/>
      <c r="O29" s="73"/>
      <c r="P29" s="72"/>
      <c r="Q29" s="73"/>
      <c r="R29" s="72"/>
      <c r="S29" s="73"/>
      <c r="T29" s="72"/>
    </row>
    <row r="30" spans="2:20" ht="13.5" customHeight="1" x14ac:dyDescent="0.35">
      <c r="B30" s="33" t="s">
        <v>241</v>
      </c>
      <c r="G30" s="305" t="s">
        <v>425</v>
      </c>
      <c r="H30" s="449">
        <f>SUM(H14,H16,H18,H20,H22+H11)</f>
        <v>202.5</v>
      </c>
      <c r="J30" s="449">
        <f>SUM(J14,J16,J18,J20,J22+J11)</f>
        <v>157.5</v>
      </c>
    </row>
    <row r="31" spans="2:20" ht="19.5" customHeight="1" x14ac:dyDescent="0.35">
      <c r="B31" s="239" t="s">
        <v>259</v>
      </c>
      <c r="C31" s="60"/>
      <c r="D31" s="240"/>
      <c r="E31" s="64"/>
      <c r="F31" s="64"/>
      <c r="G31" s="64" t="s">
        <v>427</v>
      </c>
      <c r="H31" s="461">
        <f>1*H13</f>
        <v>15.600000000000001</v>
      </c>
      <c r="I31" s="72"/>
      <c r="J31" s="461">
        <f>1*J13</f>
        <v>12</v>
      </c>
      <c r="K31" s="72"/>
      <c r="L31" s="72"/>
      <c r="M31" s="73"/>
      <c r="N31" s="72"/>
      <c r="O31" s="73"/>
      <c r="P31" s="72"/>
      <c r="Q31" s="73"/>
      <c r="R31" s="72"/>
      <c r="S31" s="73"/>
      <c r="T31" s="72"/>
    </row>
    <row r="32" spans="2:20" ht="43.5" customHeight="1" x14ac:dyDescent="0.35">
      <c r="B32" s="74"/>
      <c r="C32" s="75" t="s">
        <v>141</v>
      </c>
      <c r="D32" s="76" t="s">
        <v>234</v>
      </c>
      <c r="F32" s="69"/>
      <c r="G32" s="320" t="s">
        <v>426</v>
      </c>
      <c r="H32" s="471">
        <f>SUM(H12,H15,H17,H19,H21)</f>
        <v>190.05126932543629</v>
      </c>
      <c r="J32" s="471">
        <f>SUM(J12,J15,J17,J19,J21)</f>
        <v>247.4</v>
      </c>
    </row>
    <row r="33" spans="2:10" x14ac:dyDescent="0.35">
      <c r="B33" s="78">
        <v>1</v>
      </c>
      <c r="C33" s="79" t="s">
        <v>30</v>
      </c>
      <c r="D33" s="93">
        <v>6.4000000000000001E-2</v>
      </c>
      <c r="G33" s="305" t="s">
        <v>428</v>
      </c>
      <c r="H33" s="449">
        <f>H8</f>
        <v>0</v>
      </c>
      <c r="J33" s="449">
        <f>J8</f>
        <v>0</v>
      </c>
    </row>
    <row r="34" spans="2:10" x14ac:dyDescent="0.35">
      <c r="B34" s="78">
        <v>2</v>
      </c>
      <c r="C34" s="79" t="s">
        <v>33</v>
      </c>
      <c r="D34" s="93"/>
      <c r="G34" s="305" t="s">
        <v>34</v>
      </c>
      <c r="H34" s="449">
        <f>H10</f>
        <v>68.718869624318856</v>
      </c>
      <c r="J34" s="449">
        <f>J10</f>
        <v>69.650000000000006</v>
      </c>
    </row>
    <row r="35" spans="2:10" x14ac:dyDescent="0.35">
      <c r="B35" s="78">
        <v>3</v>
      </c>
      <c r="C35" s="283" t="s">
        <v>416</v>
      </c>
      <c r="D35" s="93">
        <v>3.5000000000000003E-2</v>
      </c>
    </row>
    <row r="36" spans="2:10" x14ac:dyDescent="0.35">
      <c r="B36" s="78">
        <v>4</v>
      </c>
      <c r="C36" s="79" t="s">
        <v>143</v>
      </c>
      <c r="D36" s="147">
        <v>0.17</v>
      </c>
    </row>
    <row r="37" spans="2:10" x14ac:dyDescent="0.35">
      <c r="B37" s="78">
        <v>5</v>
      </c>
      <c r="C37" s="79" t="s">
        <v>144</v>
      </c>
      <c r="D37" s="93">
        <v>8.2000000000000003E-2</v>
      </c>
    </row>
    <row r="38" spans="2:10" x14ac:dyDescent="0.35">
      <c r="B38" s="78">
        <v>6</v>
      </c>
      <c r="C38" s="79" t="s">
        <v>35</v>
      </c>
      <c r="D38" s="91">
        <v>0.75</v>
      </c>
    </row>
    <row r="39" spans="2:10" x14ac:dyDescent="0.35">
      <c r="B39" s="78">
        <v>7</v>
      </c>
      <c r="C39" s="79" t="s">
        <v>38</v>
      </c>
      <c r="D39" s="91">
        <v>0.5</v>
      </c>
    </row>
    <row r="40" spans="2:10" x14ac:dyDescent="0.35">
      <c r="B40" s="83">
        <v>8</v>
      </c>
      <c r="C40" s="84" t="s">
        <v>145</v>
      </c>
      <c r="D40" s="148">
        <v>0.5</v>
      </c>
    </row>
    <row r="41" spans="2:10" ht="13.5" customHeight="1" x14ac:dyDescent="0.35">
      <c r="B41" s="47"/>
    </row>
    <row r="42" spans="2:10" ht="13.5" customHeight="1" x14ac:dyDescent="0.35">
      <c r="B42" s="47"/>
    </row>
    <row r="43" spans="2:10" ht="30.75" customHeight="1" x14ac:dyDescent="0.35">
      <c r="B43" s="495" t="s">
        <v>436</v>
      </c>
      <c r="C43" s="257" t="s">
        <v>437</v>
      </c>
    </row>
    <row r="44" spans="2:10" ht="31.5" customHeight="1" x14ac:dyDescent="0.35">
      <c r="B44" s="35"/>
      <c r="C44" s="270" t="s">
        <v>146</v>
      </c>
      <c r="D44" s="99" t="s">
        <v>147</v>
      </c>
      <c r="E44" s="158" t="s">
        <v>148</v>
      </c>
      <c r="F44" s="54" t="s">
        <v>142</v>
      </c>
      <c r="G44" s="57"/>
      <c r="H44" s="77"/>
      <c r="J44" s="305" t="s">
        <v>440</v>
      </c>
    </row>
    <row r="45" spans="2:10" x14ac:dyDescent="0.35">
      <c r="B45" s="35"/>
      <c r="C45" s="333" t="s">
        <v>442</v>
      </c>
      <c r="D45" s="123">
        <f>1-D_M01!C50</f>
        <v>0.92999999999999994</v>
      </c>
      <c r="E45" s="139">
        <f>D_M01!C50</f>
        <v>7.0000000000000007E-2</v>
      </c>
      <c r="G45" s="69"/>
      <c r="H45" s="82"/>
      <c r="J45" s="472">
        <v>7.0000000000000007E-2</v>
      </c>
    </row>
    <row r="46" spans="2:10" s="305" customFormat="1" x14ac:dyDescent="0.35">
      <c r="B46" s="262">
        <v>1</v>
      </c>
      <c r="C46" s="237" t="str">
        <f>D_M01!B53</f>
        <v>Roof outside film R-Value</v>
      </c>
      <c r="D46" s="120">
        <f>D_M01!C53</f>
        <v>0.25</v>
      </c>
      <c r="E46" s="120">
        <f>D_M01!C53</f>
        <v>0.25</v>
      </c>
      <c r="G46" s="320"/>
      <c r="H46" s="321"/>
      <c r="J46" s="472"/>
    </row>
    <row r="47" spans="2:10" s="305" customFormat="1" x14ac:dyDescent="0.35">
      <c r="B47" s="262">
        <v>2</v>
      </c>
      <c r="C47" s="237" t="str">
        <f>D_M01!B54</f>
        <v>Roof Skin R-Value</v>
      </c>
      <c r="D47" s="120">
        <f>D_M01!C54</f>
        <v>1.25</v>
      </c>
      <c r="E47" s="120">
        <f>D_M01!C54</f>
        <v>1.25</v>
      </c>
      <c r="G47" s="320"/>
      <c r="H47" s="321"/>
      <c r="J47" s="472"/>
    </row>
    <row r="48" spans="2:10" s="305" customFormat="1" x14ac:dyDescent="0.35">
      <c r="B48" s="262">
        <v>3</v>
      </c>
      <c r="C48" s="237" t="str">
        <f>D_M01!B55</f>
        <v>Roof Inside Film Slope Down R-Value</v>
      </c>
      <c r="D48" s="120">
        <f>D_M01!C55</f>
        <v>0.76</v>
      </c>
      <c r="E48" s="120">
        <f>D_M01!C55</f>
        <v>0.76</v>
      </c>
      <c r="G48" s="320"/>
      <c r="H48" s="321"/>
      <c r="J48" s="472"/>
    </row>
    <row r="49" spans="2:12" ht="15.75" customHeight="1" x14ac:dyDescent="0.35">
      <c r="B49" s="262">
        <v>4</v>
      </c>
      <c r="C49" s="237" t="str">
        <f>D_M01!B56</f>
        <v>Attic Air film</v>
      </c>
      <c r="D49" s="90">
        <f>D_M01!C56</f>
        <v>0.61</v>
      </c>
      <c r="E49" s="140">
        <f>D_M01!C56</f>
        <v>0.61</v>
      </c>
      <c r="G49" s="69"/>
      <c r="H49" s="82"/>
      <c r="J49" s="473">
        <v>0.61</v>
      </c>
    </row>
    <row r="50" spans="2:12" ht="15.75" customHeight="1" x14ac:dyDescent="0.35">
      <c r="B50" s="494">
        <v>5</v>
      </c>
      <c r="C50" s="493" t="str">
        <f>D_M01!B57</f>
        <v>Batt Insulation R38</v>
      </c>
      <c r="D50" s="490">
        <f>D_M01!C57</f>
        <v>38</v>
      </c>
      <c r="E50" s="491">
        <v>0</v>
      </c>
      <c r="F50" s="508" t="s">
        <v>435</v>
      </c>
      <c r="G50" s="509"/>
      <c r="H50" s="510"/>
      <c r="J50" s="474">
        <v>0</v>
      </c>
    </row>
    <row r="51" spans="2:12" ht="15.75" customHeight="1" x14ac:dyDescent="0.35">
      <c r="B51" s="494">
        <v>6</v>
      </c>
      <c r="C51" s="493" t="str">
        <f>D_M01!B58</f>
        <v>Wood Stud 2 x 4: Nominal</v>
      </c>
      <c r="D51" s="490">
        <v>0</v>
      </c>
      <c r="E51" s="492">
        <f>D_M01!C58</f>
        <v>4.38</v>
      </c>
      <c r="F51" s="508"/>
      <c r="G51" s="509"/>
      <c r="H51" s="510"/>
      <c r="J51" s="474">
        <v>18.7</v>
      </c>
    </row>
    <row r="52" spans="2:12" s="305" customFormat="1" ht="15.75" customHeight="1" x14ac:dyDescent="0.35">
      <c r="B52" s="262"/>
      <c r="C52" s="237" t="s">
        <v>434</v>
      </c>
      <c r="D52" s="298">
        <f>1/($D45/($D50+$D51)+$E45/($E50+$E51))</f>
        <v>24.718567142899577</v>
      </c>
      <c r="E52" s="298">
        <f>1/($D45/($D50+$D51)+$E45/($E50+$E51))</f>
        <v>24.718567142899577</v>
      </c>
      <c r="G52" s="320"/>
      <c r="H52" s="321"/>
      <c r="J52" s="474"/>
    </row>
    <row r="53" spans="2:12" ht="15.75" customHeight="1" x14ac:dyDescent="0.35">
      <c r="B53" s="262">
        <v>7</v>
      </c>
      <c r="C53" s="237" t="str">
        <f>D_M01!B59</f>
        <v xml:space="preserve">0.5 Inch Drywall </v>
      </c>
      <c r="D53" s="90">
        <f>D_M01!C59</f>
        <v>0.45</v>
      </c>
      <c r="E53" s="140">
        <f>D_M01!C59</f>
        <v>0.45</v>
      </c>
      <c r="G53" s="69"/>
      <c r="H53" s="82"/>
      <c r="J53" s="474">
        <v>0.45</v>
      </c>
    </row>
    <row r="54" spans="2:12" ht="15.75" customHeight="1" x14ac:dyDescent="0.35">
      <c r="B54" s="262">
        <v>8</v>
      </c>
      <c r="C54" s="237" t="str">
        <f>D_M01!B60</f>
        <v>Indoor Air film</v>
      </c>
      <c r="D54" s="90">
        <f>D_M01!C60</f>
        <v>0.92</v>
      </c>
      <c r="E54" s="140">
        <f>D_M01!C60</f>
        <v>0.92</v>
      </c>
      <c r="G54" s="69"/>
      <c r="H54" s="82"/>
      <c r="J54" s="474">
        <v>0.92</v>
      </c>
    </row>
    <row r="55" spans="2:12" ht="15.75" customHeight="1" x14ac:dyDescent="0.35">
      <c r="B55" s="44"/>
      <c r="C55" s="319" t="s">
        <v>429</v>
      </c>
      <c r="D55" s="298">
        <f>SUM(D46:D49,D52,D53:D54)</f>
        <v>28.958567142899579</v>
      </c>
      <c r="E55" s="298">
        <f>SUM(E46:E49,E52,E53:E54)</f>
        <v>28.958567142899579</v>
      </c>
      <c r="G55" s="69"/>
      <c r="H55" s="82"/>
      <c r="J55" s="475">
        <f>SUM(J49:J54)</f>
        <v>20.68</v>
      </c>
    </row>
    <row r="56" spans="2:12" ht="15.75" customHeight="1" x14ac:dyDescent="0.35">
      <c r="B56" s="479"/>
      <c r="C56" s="480" t="s">
        <v>430</v>
      </c>
      <c r="D56" s="481">
        <f>IF(D55&gt;0, 1/D55, 0)</f>
        <v>3.4532095288602439E-2</v>
      </c>
      <c r="E56" s="482">
        <f>IF(E55&gt;0, 1/E55, 0)</f>
        <v>3.4532095288602439E-2</v>
      </c>
      <c r="F56" s="483"/>
      <c r="G56" s="484"/>
      <c r="H56" s="485"/>
      <c r="J56" s="476">
        <f>1/J55</f>
        <v>4.8355899419729211E-2</v>
      </c>
    </row>
    <row r="57" spans="2:12" ht="18" customHeight="1" x14ac:dyDescent="0.35">
      <c r="B57" s="44"/>
      <c r="C57" s="327" t="s">
        <v>160</v>
      </c>
      <c r="D57" s="118">
        <f>IF(D56=E56,D56,0)</f>
        <v>3.4532095288602439E-2</v>
      </c>
      <c r="E57" s="321"/>
      <c r="F57" s="81" t="s">
        <v>81</v>
      </c>
      <c r="G57" s="69"/>
      <c r="H57" s="82"/>
      <c r="J57" s="477">
        <f>D56*D45+J56*J45</f>
        <v>3.5499761577781314E-2</v>
      </c>
      <c r="L57" s="305" t="s">
        <v>438</v>
      </c>
    </row>
    <row r="58" spans="2:12" ht="18" customHeight="1" x14ac:dyDescent="0.35">
      <c r="B58" s="52"/>
      <c r="C58" s="323" t="s">
        <v>161</v>
      </c>
      <c r="D58" s="489">
        <f>IF(D57&gt;0,1/D57,0)</f>
        <v>28.958567142899579</v>
      </c>
      <c r="E58" s="325"/>
      <c r="F58" s="85"/>
      <c r="G58" s="86"/>
      <c r="H58" s="87"/>
      <c r="J58" s="478">
        <f>1/J57</f>
        <v>28.16920327222374</v>
      </c>
    </row>
    <row r="59" spans="2:12" x14ac:dyDescent="0.35">
      <c r="B59" s="34"/>
      <c r="F59" s="69"/>
      <c r="G59" s="69"/>
      <c r="H59" s="69"/>
    </row>
    <row r="60" spans="2:12" x14ac:dyDescent="0.35">
      <c r="B60" s="34"/>
      <c r="F60" s="69"/>
      <c r="G60" s="69"/>
      <c r="H60" s="69"/>
    </row>
    <row r="61" spans="2:12" x14ac:dyDescent="0.35">
      <c r="B61" s="34"/>
      <c r="F61" s="69">
        <f>1/0.157</f>
        <v>6.369426751592357</v>
      </c>
      <c r="G61" s="69"/>
      <c r="H61" s="69"/>
    </row>
    <row r="62" spans="2:12" ht="33.75" customHeight="1" x14ac:dyDescent="0.35">
      <c r="B62" s="34" t="s">
        <v>36</v>
      </c>
      <c r="C62" s="88" t="s">
        <v>240</v>
      </c>
      <c r="F62" s="69"/>
      <c r="G62" s="69"/>
      <c r="H62" s="69"/>
    </row>
    <row r="63" spans="2:12" ht="29.25" customHeight="1" x14ac:dyDescent="0.35">
      <c r="B63" s="54"/>
      <c r="C63" s="95" t="s">
        <v>146</v>
      </c>
      <c r="D63" s="158" t="s">
        <v>212</v>
      </c>
      <c r="E63" s="500" t="s">
        <v>443</v>
      </c>
      <c r="F63" s="54" t="s">
        <v>142</v>
      </c>
      <c r="G63" s="57"/>
      <c r="H63" s="77"/>
    </row>
    <row r="64" spans="2:12" x14ac:dyDescent="0.35">
      <c r="B64" s="37">
        <v>1</v>
      </c>
      <c r="C64" s="227" t="str">
        <f>D_M01!B67</f>
        <v>Outside Air Film (7.5 mph wind, Summer)</v>
      </c>
      <c r="D64" s="117">
        <f>D_M01!C67</f>
        <v>0.25</v>
      </c>
      <c r="E64" s="501">
        <v>0.17</v>
      </c>
      <c r="G64" s="69"/>
      <c r="H64" s="82"/>
    </row>
    <row r="65" spans="2:8" x14ac:dyDescent="0.35">
      <c r="B65" s="44">
        <v>2</v>
      </c>
      <c r="C65" s="237" t="str">
        <f>D_M01!B68</f>
        <v>Stucco (0.8 Inch thick, conductivity=9.7 Btu-in/h-ft2-°F)</v>
      </c>
      <c r="D65" s="118">
        <f>D_M01!C68</f>
        <v>8.2474226804123724E-2</v>
      </c>
      <c r="E65" s="502">
        <v>0.19989999999999999</v>
      </c>
      <c r="F65" s="81"/>
      <c r="G65" s="69"/>
      <c r="H65" s="82"/>
    </row>
    <row r="66" spans="2:8" x14ac:dyDescent="0.35">
      <c r="B66" s="44">
        <v>3</v>
      </c>
      <c r="C66" s="237" t="str">
        <f>D_M01!B69</f>
        <v>lathe</v>
      </c>
      <c r="D66" s="119">
        <f>D_M01!C69</f>
        <v>0</v>
      </c>
      <c r="E66" s="502">
        <v>0</v>
      </c>
      <c r="F66" s="81"/>
      <c r="G66" s="69"/>
      <c r="H66" s="82"/>
    </row>
    <row r="67" spans="2:8" x14ac:dyDescent="0.35">
      <c r="B67" s="44">
        <v>4</v>
      </c>
      <c r="C67" s="237" t="str">
        <f>D_M01!B70</f>
        <v>8 Inch Hollow Concrete Block (Normal Density)</v>
      </c>
      <c r="D67" s="90">
        <f>D_M01!C109</f>
        <v>1.0140947636940258</v>
      </c>
      <c r="E67" s="502">
        <v>1.1002000000000001</v>
      </c>
      <c r="F67" s="81"/>
      <c r="G67" s="69"/>
      <c r="H67" s="82"/>
    </row>
    <row r="68" spans="2:8" x14ac:dyDescent="0.35">
      <c r="B68" s="44">
        <v>5</v>
      </c>
      <c r="C68" s="237" t="str">
        <f>D_M01!B71</f>
        <v>0.75 Inch R4 Insulation Board</v>
      </c>
      <c r="D68" s="119">
        <f>D_M01!C71</f>
        <v>4</v>
      </c>
      <c r="E68" s="502">
        <v>4</v>
      </c>
      <c r="F68" s="81"/>
      <c r="G68" s="69"/>
      <c r="H68" s="82"/>
    </row>
    <row r="69" spans="2:8" x14ac:dyDescent="0.35">
      <c r="B69" s="44">
        <v>6</v>
      </c>
      <c r="C69" s="237" t="str">
        <f>D_M01!B72</f>
        <v>0.75 Inch Air Space with Furring at 16" on center</v>
      </c>
      <c r="D69" s="120">
        <f>D_M01!C72</f>
        <v>1.22</v>
      </c>
      <c r="E69" s="502">
        <v>1.22</v>
      </c>
      <c r="F69" s="81"/>
      <c r="G69" s="69"/>
      <c r="H69" s="82"/>
    </row>
    <row r="70" spans="2:8" x14ac:dyDescent="0.35">
      <c r="B70" s="44">
        <v>7</v>
      </c>
      <c r="C70" s="237" t="str">
        <f>D_M01!B73</f>
        <v xml:space="preserve">0.5 Inch Drywall </v>
      </c>
      <c r="D70" s="120">
        <f>D_M01!C73</f>
        <v>0.45</v>
      </c>
      <c r="E70" s="502">
        <v>0.45079999999999998</v>
      </c>
      <c r="F70" s="81"/>
      <c r="G70" s="69"/>
      <c r="H70" s="82"/>
    </row>
    <row r="71" spans="2:8" x14ac:dyDescent="0.35">
      <c r="B71" s="52">
        <v>8</v>
      </c>
      <c r="C71" s="238" t="str">
        <f>D_M01!B74</f>
        <v>Indoor Air Film</v>
      </c>
      <c r="D71" s="121">
        <f>D_M01!C74</f>
        <v>0.68</v>
      </c>
      <c r="E71" s="503">
        <v>0.68</v>
      </c>
      <c r="F71" s="81"/>
      <c r="G71" s="69"/>
      <c r="H71" s="82"/>
    </row>
    <row r="72" spans="2:8" ht="17.25" customHeight="1" x14ac:dyDescent="0.35">
      <c r="B72" s="44"/>
      <c r="C72" s="80" t="s">
        <v>161</v>
      </c>
      <c r="D72" s="90">
        <f>SUM(D64:D71)</f>
        <v>7.6965689904981494</v>
      </c>
      <c r="E72" s="504">
        <f>SUM(E64:E71)</f>
        <v>7.8209</v>
      </c>
      <c r="F72" s="81" t="s">
        <v>118</v>
      </c>
      <c r="G72" s="69"/>
      <c r="H72" s="82"/>
    </row>
    <row r="73" spans="2:8" ht="20.25" customHeight="1" x14ac:dyDescent="0.35">
      <c r="B73" s="52"/>
      <c r="C73" s="92" t="s">
        <v>160</v>
      </c>
      <c r="D73" s="122">
        <f>1/D72</f>
        <v>0.12992802393307415</v>
      </c>
      <c r="E73" s="505">
        <f>1/E72</f>
        <v>0.12786252221611324</v>
      </c>
      <c r="F73" s="85"/>
      <c r="G73" s="86"/>
      <c r="H73" s="87"/>
    </row>
    <row r="74" spans="2:8" ht="18" customHeight="1" x14ac:dyDescent="0.35">
      <c r="F74" s="69"/>
      <c r="G74" s="69"/>
      <c r="H74" s="69"/>
    </row>
    <row r="75" spans="2:8" ht="18" customHeight="1" x14ac:dyDescent="0.35">
      <c r="F75" s="69"/>
      <c r="G75" s="69"/>
      <c r="H75" s="69"/>
    </row>
    <row r="76" spans="2:8" ht="35.25" customHeight="1" x14ac:dyDescent="0.35">
      <c r="B76" s="33" t="s">
        <v>36</v>
      </c>
      <c r="C76" s="88" t="s">
        <v>239</v>
      </c>
      <c r="F76" s="69"/>
      <c r="G76" s="69"/>
      <c r="H76" s="69"/>
    </row>
    <row r="77" spans="2:8" ht="33" customHeight="1" x14ac:dyDescent="0.35">
      <c r="B77" s="54"/>
      <c r="C77" s="95" t="s">
        <v>146</v>
      </c>
      <c r="D77" s="99" t="s">
        <v>147</v>
      </c>
      <c r="E77" s="158" t="s">
        <v>148</v>
      </c>
      <c r="F77" s="54" t="s">
        <v>142</v>
      </c>
      <c r="G77" s="57"/>
      <c r="H77" s="77"/>
    </row>
    <row r="78" spans="2:8" x14ac:dyDescent="0.35">
      <c r="B78" s="35"/>
      <c r="C78" s="89" t="s">
        <v>150</v>
      </c>
      <c r="D78" s="132">
        <f>1-D_M01!C79</f>
        <v>0.75</v>
      </c>
      <c r="E78" s="123">
        <f>D_M01!C79</f>
        <v>0.25</v>
      </c>
      <c r="G78" s="69"/>
      <c r="H78" s="82"/>
    </row>
    <row r="79" spans="2:8" x14ac:dyDescent="0.35">
      <c r="B79" s="44">
        <v>1</v>
      </c>
      <c r="C79" s="237" t="str">
        <f>D_M01!B83</f>
        <v>Outside Air Film (7.5 mph wind, Summer)</v>
      </c>
      <c r="D79" s="100">
        <f>D_M01!C83</f>
        <v>0.25</v>
      </c>
      <c r="E79" s="120">
        <f>D_M01!C83</f>
        <v>0.25</v>
      </c>
      <c r="F79" s="81"/>
      <c r="G79" s="69"/>
      <c r="H79" s="82"/>
    </row>
    <row r="80" spans="2:8" x14ac:dyDescent="0.35">
      <c r="B80" s="44">
        <v>2</v>
      </c>
      <c r="C80" s="237" t="str">
        <f>D_M01!B84</f>
        <v>Stucco (0.8 Inch thick, conductivity=9.7 Btu-in/h-ft2-°F)</v>
      </c>
      <c r="D80" s="118">
        <f>D_M01!C84</f>
        <v>8.2474226804123724E-2</v>
      </c>
      <c r="E80" s="118">
        <f>D_M01!C84</f>
        <v>8.2474226804123724E-2</v>
      </c>
      <c r="F80" s="81"/>
      <c r="G80" s="69"/>
      <c r="H80" s="82"/>
    </row>
    <row r="81" spans="2:8" x14ac:dyDescent="0.35">
      <c r="B81" s="44">
        <v>3</v>
      </c>
      <c r="C81" s="237" t="str">
        <f>D_M01!B85</f>
        <v>0.5 Inch Plywood Exterior</v>
      </c>
      <c r="D81" s="135">
        <f>D_M01!C85</f>
        <v>0.79</v>
      </c>
      <c r="E81" s="90">
        <f>D_M01!C85</f>
        <v>0.79</v>
      </c>
      <c r="F81" s="81"/>
      <c r="G81" s="69"/>
      <c r="H81" s="82"/>
    </row>
    <row r="82" spans="2:8" x14ac:dyDescent="0.35">
      <c r="B82" s="44">
        <v>4</v>
      </c>
      <c r="C82" s="237" t="str">
        <f>D_M01!B86</f>
        <v>Wood Stud 2 x 4: Nominal</v>
      </c>
      <c r="D82" s="135">
        <v>0</v>
      </c>
      <c r="E82" s="90">
        <f>D_M01!C86</f>
        <v>4.38</v>
      </c>
      <c r="F82" s="81"/>
      <c r="G82" s="69"/>
      <c r="H82" s="82"/>
    </row>
    <row r="83" spans="2:8" x14ac:dyDescent="0.35">
      <c r="B83" s="44">
        <v>5</v>
      </c>
      <c r="C83" s="237" t="str">
        <f>D_M01!B87</f>
        <v>Fiber Glass Batt Insulation R13</v>
      </c>
      <c r="D83" s="135">
        <f>D_M01!C87</f>
        <v>13</v>
      </c>
      <c r="E83" s="119">
        <v>0</v>
      </c>
      <c r="F83" s="81"/>
      <c r="G83" s="69"/>
      <c r="H83" s="82"/>
    </row>
    <row r="84" spans="2:8" x14ac:dyDescent="0.35">
      <c r="B84" s="44">
        <v>6</v>
      </c>
      <c r="C84" s="237" t="str">
        <f>D_M01!B88</f>
        <v xml:space="preserve">0.5 Inch Drywall </v>
      </c>
      <c r="D84" s="100">
        <f>D_M01!C88</f>
        <v>0.45</v>
      </c>
      <c r="E84" s="120">
        <f>D_M01!C88</f>
        <v>0.45</v>
      </c>
      <c r="F84" s="81"/>
      <c r="G84" s="69"/>
      <c r="H84" s="82"/>
    </row>
    <row r="85" spans="2:8" x14ac:dyDescent="0.35">
      <c r="B85" s="44">
        <v>7</v>
      </c>
      <c r="C85" s="237" t="str">
        <f>D_M01!B89</f>
        <v>Indoor Air Film</v>
      </c>
      <c r="D85" s="100">
        <f>D_M01!C89</f>
        <v>0.68</v>
      </c>
      <c r="E85" s="120">
        <f>D_M01!C89</f>
        <v>0.68</v>
      </c>
      <c r="F85" s="81"/>
      <c r="G85" s="69"/>
      <c r="H85" s="82"/>
    </row>
    <row r="86" spans="2:8" x14ac:dyDescent="0.35">
      <c r="B86" s="44"/>
      <c r="C86" s="80" t="s">
        <v>169</v>
      </c>
      <c r="D86" s="135">
        <f>SUM(D79:D85)</f>
        <v>15.252474226804123</v>
      </c>
      <c r="E86" s="90">
        <f>SUM(E79:E85)</f>
        <v>6.6324742268041232</v>
      </c>
      <c r="F86" s="81"/>
      <c r="G86" s="69"/>
      <c r="H86" s="82"/>
    </row>
    <row r="87" spans="2:8" x14ac:dyDescent="0.35">
      <c r="B87" s="85"/>
      <c r="C87" s="92" t="s">
        <v>170</v>
      </c>
      <c r="D87" s="134">
        <f>1/D86</f>
        <v>6.5563133241860375E-2</v>
      </c>
      <c r="E87" s="118">
        <f>1/E86</f>
        <v>0.15077329602860032</v>
      </c>
      <c r="F87" s="81"/>
      <c r="G87" s="69"/>
      <c r="H87" s="82"/>
    </row>
    <row r="88" spans="2:8" ht="16.5" customHeight="1" x14ac:dyDescent="0.35">
      <c r="B88" s="81"/>
      <c r="C88" s="81" t="s">
        <v>160</v>
      </c>
      <c r="D88" s="101">
        <f>D87*D78+E87*E78</f>
        <v>8.6865673938545357E-2</v>
      </c>
      <c r="E88" s="94"/>
      <c r="F88" s="81" t="s">
        <v>83</v>
      </c>
      <c r="G88" s="69"/>
      <c r="H88" s="82"/>
    </row>
    <row r="89" spans="2:8" ht="16.5" customHeight="1" x14ac:dyDescent="0.35">
      <c r="B89" s="54"/>
      <c r="C89" s="54" t="s">
        <v>161</v>
      </c>
      <c r="D89" s="137">
        <f>1/D88</f>
        <v>11.512027187027496</v>
      </c>
      <c r="E89" s="94"/>
      <c r="F89" s="52"/>
      <c r="G89" s="86"/>
      <c r="H89" s="87"/>
    </row>
    <row r="92" spans="2:8" ht="19.5" customHeight="1" x14ac:dyDescent="0.35"/>
    <row r="108" ht="20.25" customHeight="1" x14ac:dyDescent="0.35"/>
  </sheetData>
  <sheetProtection algorithmName="SHA-512" hashValue="joIJvHwXikHJoQR5m6zrtd2ZlXGLccfML9lTojGwQE9N52dBDrJOIUlSZycE2xooW0EvCL0ePsOyWFgnN7zt1g==" saltValue="kHwxlRbRnM8BrAJ9ebZFGA==" spinCount="100000" sheet="1" objects="1" scenarios="1"/>
  <mergeCells count="14">
    <mergeCell ref="F50:H51"/>
    <mergeCell ref="O6:P6"/>
    <mergeCell ref="Q6:R6"/>
    <mergeCell ref="S6:T6"/>
    <mergeCell ref="K5:L5"/>
    <mergeCell ref="M5:N5"/>
    <mergeCell ref="O5:P5"/>
    <mergeCell ref="Q5:R5"/>
    <mergeCell ref="S5:T5"/>
    <mergeCell ref="D6:F6"/>
    <mergeCell ref="G6:H6"/>
    <mergeCell ref="I6:J6"/>
    <mergeCell ref="K6:L6"/>
    <mergeCell ref="M6:N6"/>
  </mergeCells>
  <dataValidations count="1">
    <dataValidation type="list" allowBlank="1" showInputMessage="1" showErrorMessage="1" sqref="F57 F72 F88">
      <formula1>UCalcMethod</formula1>
    </dataValidation>
  </dataValidations>
  <pageMargins left="0.7" right="0.7" top="0.75" bottom="0.75" header="0.3" footer="0.3"/>
  <pageSetup scale="34" fitToHeight="0" orientation="portrait" r:id="rId1"/>
  <rowBreaks count="1" manualBreakCount="1">
    <brk id="6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32</vt:i4>
      </vt:variant>
    </vt:vector>
  </HeadingPairs>
  <TitlesOfParts>
    <vt:vector size="54" baseType="lpstr">
      <vt:lpstr>Instructions</vt:lpstr>
      <vt:lpstr>V_T01</vt:lpstr>
      <vt:lpstr>UA_T01</vt:lpstr>
      <vt:lpstr>V_T02</vt:lpstr>
      <vt:lpstr>UA_T02</vt:lpstr>
      <vt:lpstr>V_T03</vt:lpstr>
      <vt:lpstr>UA_T03</vt:lpstr>
      <vt:lpstr>V_M01</vt:lpstr>
      <vt:lpstr>UA_M01</vt:lpstr>
      <vt:lpstr>V_M02</vt:lpstr>
      <vt:lpstr>UA_M02</vt:lpstr>
      <vt:lpstr>V_M03</vt:lpstr>
      <vt:lpstr>UA_M03</vt:lpstr>
      <vt:lpstr>D_T01</vt:lpstr>
      <vt:lpstr>D_T02</vt:lpstr>
      <vt:lpstr>D_T03</vt:lpstr>
      <vt:lpstr>D_M01</vt:lpstr>
      <vt:lpstr>D_M02</vt:lpstr>
      <vt:lpstr>D_M03</vt:lpstr>
      <vt:lpstr>Selections</vt:lpstr>
      <vt:lpstr>Sheet1</vt:lpstr>
      <vt:lpstr>Sheet3</vt:lpstr>
      <vt:lpstr>AirHandler</vt:lpstr>
      <vt:lpstr>Ceiling</vt:lpstr>
      <vt:lpstr>Complies</vt:lpstr>
      <vt:lpstr>Cooling</vt:lpstr>
      <vt:lpstr>Door</vt:lpstr>
      <vt:lpstr>DuctTightness</vt:lpstr>
      <vt:lpstr>Floor</vt:lpstr>
      <vt:lpstr>Heating</vt:lpstr>
      <vt:lpstr>HotWaterCirculation</vt:lpstr>
      <vt:lpstr>HotWaterLines</vt:lpstr>
      <vt:lpstr>HotWaterSystem</vt:lpstr>
      <vt:lpstr>Infiltration</vt:lpstr>
      <vt:lpstr>Lighting</vt:lpstr>
      <vt:lpstr>MechanicalVent</vt:lpstr>
      <vt:lpstr>OverallFenSHGC</vt:lpstr>
      <vt:lpstr>OverallFenU</vt:lpstr>
      <vt:lpstr>PoolandSpa</vt:lpstr>
      <vt:lpstr>UA_M02!Print_Area</vt:lpstr>
      <vt:lpstr>V_M01!Print_Area</vt:lpstr>
      <vt:lpstr>V_M02!Print_Area</vt:lpstr>
      <vt:lpstr>V_M03!Print_Area</vt:lpstr>
      <vt:lpstr>V_T01!Print_Area</vt:lpstr>
      <vt:lpstr>V_T02!Print_Area</vt:lpstr>
      <vt:lpstr>V_T03!Print_Area</vt:lpstr>
      <vt:lpstr>ReturnDucts</vt:lpstr>
      <vt:lpstr>Roof</vt:lpstr>
      <vt:lpstr>Skylight</vt:lpstr>
      <vt:lpstr>SupplyDucts</vt:lpstr>
      <vt:lpstr>TotalUA</vt:lpstr>
      <vt:lpstr>UCalcMethod</vt:lpstr>
      <vt:lpstr>Wall</vt:lpstr>
      <vt:lpstr>Window</vt:lpstr>
    </vt:vector>
  </TitlesOfParts>
  <Company>FSEC/BR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Vieira</dc:creator>
  <cp:lastModifiedBy>Rob Vieira</cp:lastModifiedBy>
  <cp:lastPrinted>2015-03-13T18:48:09Z</cp:lastPrinted>
  <dcterms:created xsi:type="dcterms:W3CDTF">2014-06-05T15:00:11Z</dcterms:created>
  <dcterms:modified xsi:type="dcterms:W3CDTF">2015-05-19T00:00:48Z</dcterms:modified>
</cp:coreProperties>
</file>